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egovg01-my.sharepoint.com/personal/pille_saar_sm_ee/Documents/Dokumendid/tööasjad/TTL/TTL_ja_metoodika_aprill_2025/TTL/metoodika allkirjastamiseks/"/>
    </mc:Choice>
  </mc:AlternateContent>
  <xr:revisionPtr revIDLastSave="0" documentId="8_{C3D57044-8386-422F-B7C3-3892C7F80230}" xr6:coauthVersionLast="47" xr6:coauthVersionMax="47" xr10:uidLastSave="{00000000-0000-0000-0000-000000000000}"/>
  <bookViews>
    <workbookView xWindow="28680" yWindow="-120" windowWidth="38640" windowHeight="21120" xr2:uid="{00000000-000D-0000-FFFF-FFFF00000000}"/>
  </bookViews>
  <sheets>
    <sheet name="määruse_lisa" sheetId="16" r:id="rId1"/>
  </sheets>
  <definedNames>
    <definedName name="_xlnm._FilterDatabase" localSheetId="0" hidden="1">määruse_lisa!$A$3:$G$403</definedName>
    <definedName name="_ftn1" localSheetId="0">määruse_lisa!#REF!</definedName>
    <definedName name="_ftnref1" localSheetId="0">määruse_lisa!$F$141</definedName>
    <definedName name="_Hlk495503952" localSheetId="0">määruse_lisa!$A$274</definedName>
    <definedName name="_Hlk495503991" localSheetId="0">määruse_lisa!$A$276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16" l="1"/>
  <c r="B12" i="16"/>
  <c r="A14" i="16"/>
  <c r="A15" i="16" s="1"/>
  <c r="B14" i="16"/>
  <c r="B15" i="16" s="1"/>
  <c r="A18" i="16"/>
  <c r="B18" i="16"/>
  <c r="A20" i="16"/>
  <c r="B20" i="16"/>
  <c r="A24" i="16"/>
  <c r="B24" i="16"/>
  <c r="A32" i="16"/>
  <c r="B32" i="16"/>
  <c r="A37" i="16"/>
  <c r="A38" i="16" s="1"/>
  <c r="A39" i="16" s="1"/>
  <c r="A40" i="16" s="1"/>
  <c r="B37" i="16"/>
  <c r="A42" i="16"/>
  <c r="A43" i="16" s="1"/>
  <c r="B42" i="16"/>
  <c r="B43" i="16" s="1"/>
  <c r="A50" i="16"/>
  <c r="A51" i="16" s="1"/>
  <c r="B50" i="16"/>
  <c r="B51" i="16" s="1"/>
  <c r="A56" i="16"/>
  <c r="B56" i="16"/>
  <c r="A61" i="16"/>
  <c r="B61" i="16"/>
  <c r="A85" i="16"/>
  <c r="A86" i="16" s="1"/>
  <c r="A87" i="16" s="1"/>
  <c r="A88" i="16" s="1"/>
  <c r="A89" i="16" s="1"/>
  <c r="A90" i="16" s="1"/>
  <c r="A91" i="16" s="1"/>
  <c r="A92" i="16" s="1"/>
  <c r="B85" i="16"/>
  <c r="B86" i="16" s="1"/>
  <c r="A94" i="16"/>
  <c r="A95" i="16" s="1"/>
  <c r="A96" i="16" s="1"/>
  <c r="A97" i="16" s="1"/>
  <c r="A98" i="16" s="1"/>
  <c r="A99" i="16" s="1"/>
  <c r="A100" i="16" s="1"/>
  <c r="A101" i="16" s="1"/>
  <c r="A102" i="16" s="1"/>
  <c r="A103" i="16" s="1"/>
  <c r="B94" i="16"/>
  <c r="B95" i="16" s="1"/>
  <c r="B96" i="16" s="1"/>
  <c r="B97" i="16" s="1"/>
  <c r="A115" i="16"/>
  <c r="A116" i="16" s="1"/>
  <c r="B115" i="16"/>
  <c r="B116" i="16" s="1"/>
  <c r="A118" i="16"/>
  <c r="A119" i="16" s="1"/>
  <c r="B118" i="16"/>
  <c r="B119" i="16" s="1"/>
  <c r="A121" i="16"/>
  <c r="A122" i="16" s="1"/>
  <c r="B121" i="16"/>
  <c r="B122" i="16" s="1"/>
  <c r="A124" i="16"/>
  <c r="B124" i="16"/>
  <c r="A126" i="16"/>
  <c r="A127" i="16" s="1"/>
  <c r="A128" i="16" s="1"/>
  <c r="A129" i="16" s="1"/>
  <c r="A130" i="16" s="1"/>
  <c r="A131" i="16" s="1"/>
  <c r="A132" i="16" s="1"/>
  <c r="B126" i="16"/>
  <c r="B127" i="16" s="1"/>
  <c r="B128" i="16" s="1"/>
  <c r="B129" i="16" s="1"/>
  <c r="B130" i="16" s="1"/>
  <c r="B131" i="16" s="1"/>
  <c r="B132" i="16" s="1"/>
  <c r="A134" i="16"/>
  <c r="B134" i="16"/>
  <c r="A141" i="16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B141" i="16"/>
  <c r="B142" i="16" s="1"/>
  <c r="B143" i="16" s="1"/>
  <c r="A154" i="16"/>
  <c r="A155" i="16" s="1"/>
  <c r="A156" i="16" s="1"/>
  <c r="B154" i="16"/>
  <c r="B155" i="16" s="1"/>
  <c r="B156" i="16" s="1"/>
  <c r="A168" i="16"/>
  <c r="A169" i="16" s="1"/>
  <c r="A170" i="16" s="1"/>
  <c r="A171" i="16" s="1"/>
  <c r="A172" i="16" s="1"/>
  <c r="A173" i="16" s="1"/>
  <c r="A174" i="16" s="1"/>
  <c r="B168" i="16"/>
  <c r="B169" i="16" s="1"/>
  <c r="B170" i="16" s="1"/>
  <c r="B171" i="16" s="1"/>
  <c r="A177" i="16"/>
  <c r="A178" i="16" s="1"/>
  <c r="B177" i="16"/>
  <c r="B178" i="16" s="1"/>
  <c r="A181" i="16"/>
  <c r="A182" i="16" s="1"/>
  <c r="A183" i="16" s="1"/>
  <c r="B181" i="16"/>
  <c r="B182" i="16" s="1"/>
  <c r="B183" i="16" s="1"/>
  <c r="A185" i="16"/>
  <c r="A186" i="16" s="1"/>
  <c r="B185" i="16"/>
  <c r="A188" i="16"/>
  <c r="A189" i="16" s="1"/>
  <c r="B188" i="16"/>
  <c r="B189" i="16" s="1"/>
  <c r="A191" i="16"/>
  <c r="A192" i="16" s="1"/>
  <c r="A193" i="16" s="1"/>
  <c r="A194" i="16" s="1"/>
  <c r="A195" i="16" s="1"/>
  <c r="A196" i="16" s="1"/>
  <c r="A197" i="16" s="1"/>
  <c r="A198" i="16" s="1"/>
  <c r="A199" i="16" s="1"/>
  <c r="A200" i="16" s="1"/>
  <c r="A201" i="16" s="1"/>
  <c r="A202" i="16" s="1"/>
  <c r="A203" i="16" s="1"/>
  <c r="B191" i="16"/>
  <c r="B192" i="16" s="1"/>
  <c r="A205" i="16"/>
  <c r="A206" i="16" s="1"/>
  <c r="A207" i="16" s="1"/>
  <c r="A208" i="16" s="1"/>
  <c r="A209" i="16" s="1"/>
  <c r="B205" i="16"/>
  <c r="B206" i="16" s="1"/>
  <c r="B207" i="16" s="1"/>
  <c r="B208" i="16" s="1"/>
  <c r="B209" i="16" s="1"/>
  <c r="A211" i="16"/>
  <c r="B211" i="16"/>
  <c r="A213" i="16"/>
  <c r="A214" i="16" s="1"/>
  <c r="B213" i="16"/>
  <c r="B214" i="16" s="1"/>
  <c r="A218" i="16"/>
  <c r="A219" i="16" s="1"/>
  <c r="A220" i="16" s="1"/>
  <c r="A221" i="16" s="1"/>
  <c r="A222" i="16" s="1"/>
  <c r="A223" i="16" s="1"/>
  <c r="A224" i="16" s="1"/>
  <c r="A225" i="16" s="1"/>
  <c r="A226" i="16" s="1"/>
  <c r="A227" i="16" s="1"/>
  <c r="A228" i="16" s="1"/>
  <c r="A229" i="16" s="1"/>
  <c r="A230" i="16" s="1"/>
  <c r="A231" i="16" s="1"/>
  <c r="A232" i="16" s="1"/>
  <c r="A233" i="16" s="1"/>
  <c r="A234" i="16" s="1"/>
  <c r="B218" i="16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A245" i="16"/>
  <c r="B245" i="16"/>
  <c r="A255" i="16"/>
  <c r="B255" i="16"/>
  <c r="A257" i="16"/>
  <c r="A258" i="16" s="1"/>
  <c r="A259" i="16" s="1"/>
  <c r="A260" i="16" s="1"/>
  <c r="A261" i="16" s="1"/>
  <c r="A262" i="16" s="1"/>
  <c r="A263" i="16" s="1"/>
  <c r="B257" i="16"/>
  <c r="B258" i="16" s="1"/>
  <c r="B259" i="16" s="1"/>
  <c r="B260" i="16" s="1"/>
  <c r="B261" i="16" s="1"/>
  <c r="B262" i="16" s="1"/>
  <c r="B263" i="16" s="1"/>
  <c r="A271" i="16"/>
  <c r="A272" i="16" s="1"/>
  <c r="A273" i="16" s="1"/>
  <c r="B271" i="16"/>
  <c r="A275" i="16"/>
  <c r="B275" i="16"/>
  <c r="A277" i="16"/>
  <c r="B277" i="16"/>
  <c r="A280" i="16"/>
  <c r="A281" i="16" s="1"/>
  <c r="A282" i="16" s="1"/>
  <c r="A283" i="16" s="1"/>
  <c r="A284" i="16" s="1"/>
  <c r="A285" i="16" s="1"/>
  <c r="A286" i="16" s="1"/>
  <c r="B280" i="16"/>
  <c r="B281" i="16" s="1"/>
  <c r="B282" i="16" s="1"/>
  <c r="B283" i="16" s="1"/>
  <c r="B284" i="16" s="1"/>
  <c r="B285" i="16" s="1"/>
  <c r="B286" i="16" s="1"/>
  <c r="A288" i="16"/>
  <c r="A289" i="16" s="1"/>
  <c r="A290" i="16" s="1"/>
  <c r="A291" i="16" s="1"/>
  <c r="A292" i="16" s="1"/>
  <c r="A293" i="16" s="1"/>
  <c r="A294" i="16" s="1"/>
  <c r="B288" i="16"/>
  <c r="B289" i="16" s="1"/>
  <c r="B290" i="16" s="1"/>
  <c r="B291" i="16" s="1"/>
  <c r="B292" i="16" s="1"/>
  <c r="B293" i="16" s="1"/>
  <c r="B294" i="16" s="1"/>
  <c r="G278" i="16"/>
  <c r="G274" i="16"/>
  <c r="B98" i="16" l="1"/>
  <c r="B99" i="16" s="1"/>
  <c r="B272" i="16"/>
  <c r="B273" i="16" s="1"/>
  <c r="B38" i="16"/>
  <c r="B186" i="16"/>
  <c r="B87" i="16"/>
  <c r="B88" i="16" s="1"/>
  <c r="B89" i="16" s="1"/>
  <c r="B172" i="16"/>
  <c r="B173" i="16" s="1"/>
  <c r="B174" i="16" s="1"/>
  <c r="B193" i="16"/>
  <c r="B194" i="16" s="1"/>
  <c r="B195" i="16" s="1"/>
  <c r="B196" i="16" s="1"/>
  <c r="B197" i="16" s="1"/>
  <c r="B198" i="16" s="1"/>
  <c r="B199" i="16" s="1"/>
  <c r="B200" i="16" s="1"/>
  <c r="B201" i="16" s="1"/>
  <c r="B202" i="16" s="1"/>
  <c r="B144" i="16"/>
  <c r="F272" i="16"/>
  <c r="F271" i="16"/>
  <c r="F270" i="16"/>
  <c r="B203" i="16" l="1"/>
  <c r="B100" i="16"/>
  <c r="B90" i="16"/>
  <c r="B39" i="16"/>
  <c r="B145" i="16"/>
  <c r="F139" i="16"/>
  <c r="B91" i="16" l="1"/>
  <c r="B101" i="16"/>
  <c r="B40" i="16"/>
  <c r="B146" i="16"/>
  <c r="G75" i="16"/>
  <c r="G72" i="16"/>
  <c r="G71" i="16"/>
  <c r="G70" i="16"/>
  <c r="G67" i="16"/>
  <c r="G68" i="16"/>
  <c r="G66" i="16"/>
  <c r="B102" i="16" l="1"/>
  <c r="B92" i="16"/>
  <c r="B147" i="16"/>
  <c r="G235" i="16"/>
  <c r="G237" i="16"/>
  <c r="G238" i="16"/>
  <c r="G239" i="16"/>
  <c r="B103" i="16" l="1"/>
  <c r="B148" i="16"/>
  <c r="F222" i="16"/>
  <c r="F221" i="16"/>
  <c r="F220" i="16"/>
  <c r="F219" i="16"/>
  <c r="F218" i="16"/>
  <c r="F217" i="16"/>
  <c r="B149" i="16" l="1"/>
  <c r="F204" i="16"/>
  <c r="F206" i="16"/>
  <c r="F205" i="16"/>
  <c r="B150" i="16" l="1"/>
  <c r="G216" i="16"/>
  <c r="F175" i="16"/>
  <c r="G175" i="16" s="1"/>
  <c r="B151" i="16" l="1"/>
  <c r="G136" i="16"/>
  <c r="B152" i="16" l="1"/>
  <c r="F214" i="16"/>
  <c r="F213" i="16"/>
  <c r="F212" i="16"/>
  <c r="E214" i="16"/>
  <c r="E213" i="16"/>
  <c r="F211" i="16"/>
  <c r="F210" i="16"/>
  <c r="F209" i="16"/>
  <c r="F208" i="16"/>
  <c r="F207" i="16"/>
  <c r="G210" i="16" l="1"/>
  <c r="G212" i="16"/>
  <c r="G204" i="16"/>
  <c r="F198" i="16"/>
  <c r="F199" i="16"/>
  <c r="F203" i="16"/>
  <c r="F202" i="16"/>
  <c r="F201" i="16"/>
  <c r="F200" i="16"/>
  <c r="F197" i="16"/>
  <c r="F196" i="16"/>
  <c r="F195" i="16"/>
  <c r="F194" i="16"/>
  <c r="F193" i="16"/>
  <c r="F192" i="16"/>
  <c r="F191" i="16"/>
  <c r="F190" i="16"/>
  <c r="F189" i="16" l="1"/>
  <c r="F188" i="16"/>
  <c r="F187" i="16"/>
  <c r="F186" i="16"/>
  <c r="F184" i="16"/>
  <c r="F185" i="16"/>
  <c r="F181" i="16"/>
  <c r="F183" i="16"/>
  <c r="F182" i="16"/>
  <c r="F180" i="16"/>
  <c r="F179" i="16"/>
  <c r="G179" i="16" s="1"/>
  <c r="F176" i="16"/>
  <c r="F177" i="16"/>
  <c r="F178" i="16"/>
  <c r="F137" i="16"/>
  <c r="G137" i="16" s="1"/>
  <c r="F51" i="16"/>
  <c r="F50" i="16"/>
  <c r="F49" i="16"/>
  <c r="F45" i="16"/>
  <c r="G45" i="16" s="1"/>
  <c r="F54" i="16"/>
  <c r="G54" i="16" s="1"/>
  <c r="F53" i="16"/>
  <c r="G53" i="16" s="1"/>
  <c r="F52" i="16"/>
  <c r="G52" i="16" s="1"/>
  <c r="F48" i="16"/>
  <c r="G48" i="16" s="1"/>
  <c r="F47" i="16"/>
  <c r="G47" i="16" s="1"/>
  <c r="F46" i="16"/>
  <c r="G46" i="16" s="1"/>
  <c r="F44" i="16"/>
  <c r="G44" i="16" s="1"/>
  <c r="F43" i="16"/>
  <c r="F42" i="16"/>
  <c r="F41" i="16"/>
  <c r="F40" i="16"/>
  <c r="F39" i="16"/>
  <c r="F38" i="16"/>
  <c r="F37" i="16"/>
  <c r="F36" i="16"/>
  <c r="G184" i="16" l="1"/>
  <c r="G176" i="16"/>
  <c r="G187" i="16"/>
  <c r="G49" i="16"/>
  <c r="G180" i="16"/>
  <c r="G36" i="16"/>
  <c r="G41" i="16"/>
  <c r="G158" i="16"/>
  <c r="G159" i="16"/>
  <c r="G162" i="16"/>
  <c r="G163" i="16"/>
  <c r="G164" i="16"/>
  <c r="G166" i="16"/>
  <c r="G140" i="16" l="1"/>
  <c r="G153" i="16"/>
</calcChain>
</file>

<file path=xl/sharedStrings.xml><?xml version="1.0" encoding="utf-8"?>
<sst xmlns="http://schemas.openxmlformats.org/spreadsheetml/2006/main" count="922" uniqueCount="655">
  <si>
    <t>Meditsiiniseadme nimetus</t>
  </si>
  <si>
    <t>Kood</t>
  </si>
  <si>
    <t>Teenuses sisalduva meditsiiniseadme nimetus</t>
  </si>
  <si>
    <t>Teenuses sisalduva meditsiiniseadme kogus</t>
  </si>
  <si>
    <t>Osakaal teenuses</t>
  </si>
  <si>
    <t>Ühiku hind (koos KM-ga) (EUR)</t>
  </si>
  <si>
    <t>Teenuse hind (EUR)</t>
  </si>
  <si>
    <t>Alumise õõnesveeni filter</t>
  </si>
  <si>
    <t>2502L</t>
  </si>
  <si>
    <t>Epikutaanne tsentraalne veenikateeter (G 24, G 27)</t>
  </si>
  <si>
    <t>2508L</t>
  </si>
  <si>
    <t>Epikutaanne tsentraalne veenikateeter</t>
  </si>
  <si>
    <t>Südame püsistimulatsiooni elektrood</t>
  </si>
  <si>
    <t>2509L</t>
  </si>
  <si>
    <t>Vahend avatud arteriaalse juha endovaskulaarseks sulgemiseks</t>
  </si>
  <si>
    <t>2510L</t>
  </si>
  <si>
    <t>Kopsuarteri trombi aspiratsiooniseadmete komplekt</t>
  </si>
  <si>
    <t>2538L</t>
  </si>
  <si>
    <t>Neeruarterite denervatsiooni seadmete komplekt</t>
  </si>
  <si>
    <t>2539L</t>
  </si>
  <si>
    <t>Neeruarterite denervatsiooni kateeter</t>
  </si>
  <si>
    <t>Juhtekateeter ja juhtetraadid</t>
  </si>
  <si>
    <t>Lülisamba distarktor</t>
  </si>
  <si>
    <t>2601L</t>
  </si>
  <si>
    <t>Distraktor lülisamba patoloogia raviks</t>
  </si>
  <si>
    <t>Lülisamba lülivahemiku implantaat</t>
  </si>
  <si>
    <t>Transpedikulaarsete kruvide ja vastava konstruktsiooniga süsteem lülisamba fikseerimiseks</t>
  </si>
  <si>
    <t>2638L</t>
  </si>
  <si>
    <t>Transpedikulaarsete kruvide ja vastava konstruktsiooniga süsteem lülisambamurru raviks</t>
  </si>
  <si>
    <t>Transpedikulaarsete kruvide ja vastava konstruktsiooniga süsteem  spondülolisteesi raviks</t>
  </si>
  <si>
    <t>Transpedikulaarsete kruvide ja vastava konstruktsiooniga süsteem   vertebroplastika raviks</t>
  </si>
  <si>
    <t>Implantaatide komplekt keeruka lülisambadeformatsiooni ja kasvaja raviks</t>
  </si>
  <si>
    <t>2604L</t>
  </si>
  <si>
    <t>Transpedikulaarsete ja sakraalsete kruvidega ning vastava konstruktsiooniga komplekt komplitseeritud deformiteetide, murdude ja kasvajate raviks</t>
  </si>
  <si>
    <t>2605L</t>
  </si>
  <si>
    <t>Komplitseeritud lülikeha asendusimplantaat</t>
  </si>
  <si>
    <t>Transpedikulaarsete kruvide ja vastava konstruktsiooniga komplekt  lülisambamurdude, kasvajate ja -deformatsioonide raviks, lülikeha asendusimplantaat</t>
  </si>
  <si>
    <t>2606L</t>
  </si>
  <si>
    <t xml:space="preserve">Transpedikulaarsete kruvide ja vastava konstruktsiooniga komplekt  lülisambamurdude, kasvajate ja -deformatsioonide raviks </t>
  </si>
  <si>
    <t>Lülikeha asendusimplantaat</t>
  </si>
  <si>
    <t>Reieluukaela mediaalse murru implantaat</t>
  </si>
  <si>
    <t>2618L</t>
  </si>
  <si>
    <t>Intramedullaarne nael (alates 5mm)</t>
  </si>
  <si>
    <t>2619L</t>
  </si>
  <si>
    <t>Intramedullaarne universaalne nael, diameeter alates 5 mm</t>
  </si>
  <si>
    <t>Intramedullaarne väike nael (kuni 5mm)</t>
  </si>
  <si>
    <t>2621L</t>
  </si>
  <si>
    <t>Intramedullaarne väike nael</t>
  </si>
  <si>
    <t>Intramedullaarne standartne nael (diameeter 2,5-5mm)</t>
  </si>
  <si>
    <t>Rinnakuvarb (Lorenzi süsteem)</t>
  </si>
  <si>
    <t>2637L</t>
  </si>
  <si>
    <t>Standardne tsementeeritav  puusaliigese endoprotees</t>
  </si>
  <si>
    <t>2650L</t>
  </si>
  <si>
    <t>Standardne tsemendivaba puusaliigese endoprotees</t>
  </si>
  <si>
    <t>2651L</t>
  </si>
  <si>
    <t>Puusaliigese hübriidprotees</t>
  </si>
  <si>
    <t>2652L</t>
  </si>
  <si>
    <t>Tsementeeritav puusa revisioonprotees</t>
  </si>
  <si>
    <t>2653L</t>
  </si>
  <si>
    <t>Tsemendivaba puusa revisioonprotees</t>
  </si>
  <si>
    <t>2654L</t>
  </si>
  <si>
    <t>Segmenti asendav puusaliigese ja põlveliigese protees luukoe suure kaoga seotud protsesside (kasvajad, luunekroos) korral</t>
  </si>
  <si>
    <t>2656L</t>
  </si>
  <si>
    <t>Segmenti asendav puusaliigeseprotees luukoe suure kaoga seotud protsesside (kasvajad, luunekroos) korral</t>
  </si>
  <si>
    <t>Segmenti asendav põlveliigeseprotees luukoe suure kaoga seotud protsesside (kasvajad, luunekroos) korral</t>
  </si>
  <si>
    <t>Standardne tsementeeritav põlveliigese endoprotees</t>
  </si>
  <si>
    <t>2660L</t>
  </si>
  <si>
    <t>Sõrmeliigese silikoonprotees</t>
  </si>
  <si>
    <t>2670L</t>
  </si>
  <si>
    <t>Sõrmeliigese totaalprotees</t>
  </si>
  <si>
    <t>2671L</t>
  </si>
  <si>
    <t xml:space="preserve">Klips ajuveresoonte haiguste operatsioonil </t>
  </si>
  <si>
    <t>2701L</t>
  </si>
  <si>
    <t>Ajuvatsakeste šunteerimise komplekt (reguleeritava klapiga)</t>
  </si>
  <si>
    <t>2702L</t>
  </si>
  <si>
    <t xml:space="preserve">Programmeeritav klapp </t>
  </si>
  <si>
    <t>Ventrikulaarne/peritoneaalne kateeter</t>
  </si>
  <si>
    <t xml:space="preserve">Distal atrial kateeter </t>
  </si>
  <si>
    <t xml:space="preserve">Ajuvatsakese välise drenaaži komplekt </t>
  </si>
  <si>
    <t>2703L</t>
  </si>
  <si>
    <t>Liikvori kontrollklapp šunteerival operatsioonil</t>
  </si>
  <si>
    <t>2720L</t>
  </si>
  <si>
    <t>Koljul paiknev reservuaarklapp šunteerival operatsioonil</t>
  </si>
  <si>
    <t>2707L</t>
  </si>
  <si>
    <t>Ühendav vahelüli šunteerival operatsioonil</t>
  </si>
  <si>
    <t>2708L</t>
  </si>
  <si>
    <t xml:space="preserve">Abdominaalne (atriaalne) kateeter vastsündinutele šunteerival operatsioonil </t>
  </si>
  <si>
    <t>2709L</t>
  </si>
  <si>
    <t>Kaela eesmise spondülodeesi vahendid</t>
  </si>
  <si>
    <t>2721L</t>
  </si>
  <si>
    <t>Kruvid</t>
  </si>
  <si>
    <t>Plaat</t>
  </si>
  <si>
    <t>Lukustatavad kruvid</t>
  </si>
  <si>
    <t>Aju kõvakelme asendaja</t>
  </si>
  <si>
    <t>2714L</t>
  </si>
  <si>
    <t xml:space="preserve">Ajuvatsakese sisene rõhu andur </t>
  </si>
  <si>
    <t>2715L</t>
  </si>
  <si>
    <t xml:space="preserve">Ajukoe sisene rõhu andur </t>
  </si>
  <si>
    <t>2716L</t>
  </si>
  <si>
    <t>Mitteresorbeeruv proteesvõrk (kuni 15x15 cm)</t>
  </si>
  <si>
    <t>2765L</t>
  </si>
  <si>
    <t>Mitteresorbeeruv songa proteesvõrk (kuni 6x13,5 cm)</t>
  </si>
  <si>
    <t>Mitteresorbeeruv songa proteesvõrk (kuni 15x15 cm)</t>
  </si>
  <si>
    <t>Soolte vastu asetatav proteesmaterjal  (kuni 15x15 cm)</t>
  </si>
  <si>
    <t>2753L</t>
  </si>
  <si>
    <t>Soolte vastu asetatav proteesvõrk (10x15 cm; 10x20 cm; 15x15 cm)</t>
  </si>
  <si>
    <t>Soolte vastu asetatav proteesmaterjal  (15x20 cm)</t>
  </si>
  <si>
    <t>2752L</t>
  </si>
  <si>
    <t>Soolte vastu asetatav proteesvõrk (15x20 cm)</t>
  </si>
  <si>
    <t>Kolmeosaline songa proteesvõrk</t>
  </si>
  <si>
    <t>2755L</t>
  </si>
  <si>
    <t>Lineaarstapler või lineaarstapler-lõikur</t>
  </si>
  <si>
    <t>2766L</t>
  </si>
  <si>
    <t xml:space="preserve">Lineaarstapler </t>
  </si>
  <si>
    <t>Lineaarstapler-lõikur</t>
  </si>
  <si>
    <t xml:space="preserve">Lineaarstapleri või lineaarstapler-lõikuri täitekassett </t>
  </si>
  <si>
    <t>2767L</t>
  </si>
  <si>
    <t>Tsirkulaarstapler</t>
  </si>
  <si>
    <t>2758L</t>
  </si>
  <si>
    <t>Lineaarstapler-lõikur laparoskoopilistel või torakoskoopilistel operatsioonidel</t>
  </si>
  <si>
    <t>2763L</t>
  </si>
  <si>
    <t>Endoskoopiline lineaarstapler-lõikur</t>
  </si>
  <si>
    <t>Lineaarstapler-lõikuri õmbluskassett laparoskoopilistel või torakoskoopilistel operatsioonidel</t>
  </si>
  <si>
    <t>2764L</t>
  </si>
  <si>
    <t xml:space="preserve">Endoskoopilise lineaarstapleri õmbluskasset </t>
  </si>
  <si>
    <t>Ajutine šunt</t>
  </si>
  <si>
    <t>2801L</t>
  </si>
  <si>
    <t>Plastika lapp (9×2 cm)</t>
  </si>
  <si>
    <t>2802L</t>
  </si>
  <si>
    <t>Y-kujuline immutatud dakroonprotees</t>
  </si>
  <si>
    <t>2804L</t>
  </si>
  <si>
    <t>Lineaarne PTFE-protees</t>
  </si>
  <si>
    <t>2815L</t>
  </si>
  <si>
    <t xml:space="preserve">Embol/trombekrtoomia/sapiteede konkrementide eemaldamise balloonkateeter </t>
  </si>
  <si>
    <t>2809L</t>
  </si>
  <si>
    <t>Balloonkateeter</t>
  </si>
  <si>
    <t xml:space="preserve">Embol/trombekrtoomia spiraal ja korvkateeter </t>
  </si>
  <si>
    <t>2810L</t>
  </si>
  <si>
    <t xml:space="preserve">Spiraal ja korvkateeter </t>
  </si>
  <si>
    <t xml:space="preserve">Hemodialüüsi arterio-venoosne PTFE-šunt </t>
  </si>
  <si>
    <t>2811L</t>
  </si>
  <si>
    <t>Arterio-venoosne PTFE-šunt</t>
  </si>
  <si>
    <t>Okluseeriv spiraal</t>
  </si>
  <si>
    <t>2812L</t>
  </si>
  <si>
    <t xml:space="preserve">Kodade vaheseina defekti sulgur </t>
  </si>
  <si>
    <t>2813L</t>
  </si>
  <si>
    <t>Kodade vaheseina defekti sulgur</t>
  </si>
  <si>
    <t>Lineaarne immutatud dakroonprotees</t>
  </si>
  <si>
    <t>2814L</t>
  </si>
  <si>
    <t>Häälemoodustamise trahheo-ösofagiaalne endoprotees</t>
  </si>
  <si>
    <t>2850L</t>
  </si>
  <si>
    <t>Trahheostoomia kanüüli komplekt</t>
  </si>
  <si>
    <t>2851L</t>
  </si>
  <si>
    <t>Kõrva kuulmisluukese endoprotees</t>
  </si>
  <si>
    <t>2853L</t>
  </si>
  <si>
    <t>Orbita hüdroksüapatiit implantaat</t>
  </si>
  <si>
    <t>2870L</t>
  </si>
  <si>
    <t>Sarvkesta protees</t>
  </si>
  <si>
    <t>2871L</t>
  </si>
  <si>
    <t>Iiris-lääts</t>
  </si>
  <si>
    <t>2872L</t>
  </si>
  <si>
    <t>Iirise retraktorite komplekt</t>
  </si>
  <si>
    <t>2873L</t>
  </si>
  <si>
    <t>Iirise retraktor</t>
  </si>
  <si>
    <t>Kapsliring</t>
  </si>
  <si>
    <t>2874L</t>
  </si>
  <si>
    <t>Kollageenimplantaat</t>
  </si>
  <si>
    <t>2875L</t>
  </si>
  <si>
    <t>ureeteri kateeter 6 Fr</t>
  </si>
  <si>
    <t>ureeteri stent 6 Fr</t>
  </si>
  <si>
    <t>korvling otsata 2,2 Fr</t>
  </si>
  <si>
    <t>ureeteri dilatats, kat</t>
  </si>
  <si>
    <t>ureteraalne sisestaja</t>
  </si>
  <si>
    <t>ureteraalne kateeter 2-teeline</t>
  </si>
  <si>
    <t>kivi fikseerimise spiraal</t>
  </si>
  <si>
    <t>kivihaaraja</t>
  </si>
  <si>
    <t>Nefroskoopiline operatsioon (PCN) erivahendite komplekt</t>
  </si>
  <si>
    <t>2911L</t>
  </si>
  <si>
    <t>Dilataatorite komplekt (14Fr, 18Fr, 28Fr) ühekordne</t>
  </si>
  <si>
    <t>Kat. Nefrostoomia 24CH Silkomed steriil</t>
  </si>
  <si>
    <t>Juhtetraat 035“/0,89mm Lunderquist N1 J-tip steriil!</t>
  </si>
  <si>
    <t>Peenike laseri sond Rocamed, ühe sondi saab 10x kasutada (siin ühe korra hind; kasutus pooltel juhtudel)</t>
  </si>
  <si>
    <t>Ureetri kateeter ballooniga 6FR x 70cm N1 /obturatsiooni kateteer</t>
  </si>
  <si>
    <t>Silikoonstent</t>
  </si>
  <si>
    <t>C-arm arkoskoobikott</t>
  </si>
  <si>
    <t>Amplaz(28Fr)</t>
  </si>
  <si>
    <t>Ultravist 370 inj/inf sol 769mg/ml 50ml</t>
  </si>
  <si>
    <t>Lidocain geel (Cathejell) 12,5g</t>
  </si>
  <si>
    <t xml:space="preserve">Octenisept 250ml   </t>
  </si>
  <si>
    <t>Perkutaanse nefrostoomi või gastrostoomi komplekt</t>
  </si>
  <si>
    <t>2906L</t>
  </si>
  <si>
    <t>Kusepõiesfinkteri protees</t>
  </si>
  <si>
    <t>2909L</t>
  </si>
  <si>
    <t>Kondroitiinsulfaat lokaalseks kusepõiesiseseks raviks</t>
  </si>
  <si>
    <t>2913L</t>
  </si>
  <si>
    <t>Emakasisene rasestumisvastane vahend</t>
  </si>
  <si>
    <t>2930L</t>
  </si>
  <si>
    <t>Kusepõiesfinkteri proteesi lisamuhv</t>
  </si>
  <si>
    <t>2912L</t>
  </si>
  <si>
    <t>Kõrgsagedusliku kopsude kunstliku ventilatsiooni korral kasutatav hingamiskontuur</t>
  </si>
  <si>
    <t>2950L</t>
  </si>
  <si>
    <t>Alalõualuu rekonstruktsiooni plaat</t>
  </si>
  <si>
    <t>2854L</t>
  </si>
  <si>
    <t>Endoskoopiline songavõrgu kinnitusvahend</t>
  </si>
  <si>
    <t>2770L</t>
  </si>
  <si>
    <t>Soolte vastu asetatav proteesmaterjal (30x30cm)</t>
  </si>
  <si>
    <t>2768L</t>
  </si>
  <si>
    <t>Mitteresorbeeruv proteesvõrk (30x30 cm)</t>
  </si>
  <si>
    <t>2769L</t>
  </si>
  <si>
    <t>Unikondülaarne põlveliigese protees</t>
  </si>
  <si>
    <t>2672L</t>
  </si>
  <si>
    <t>Sääreluu plastikust komponent</t>
  </si>
  <si>
    <t>Sääreluu metall/plastik komponent</t>
  </si>
  <si>
    <t>Sääreluu liikuva konstruktsiooniga komponent</t>
  </si>
  <si>
    <t>Erikonrstruktsiooniga protees (põlv, õlg, ranne, küünarliiges, hüppeliiges)</t>
  </si>
  <si>
    <t>2673L</t>
  </si>
  <si>
    <t>Standardne tsemendivaba põlveliigese endoprotees</t>
  </si>
  <si>
    <t>Küünarliigese tsementeeritav protees</t>
  </si>
  <si>
    <t>Hüppeliigese tsementeeritav protees</t>
  </si>
  <si>
    <t>Eripinnakonstruktsiooniga puusa- või põlveliigese protees</t>
  </si>
  <si>
    <t>2674L</t>
  </si>
  <si>
    <t>Eripinnakonstruktsiooniga põlve revisioon</t>
  </si>
  <si>
    <t>Eripinnakonstruktsiooniga puusa revisioon</t>
  </si>
  <si>
    <t xml:space="preserve">Eripinnakonstruktsiooniga puus tavaline </t>
  </si>
  <si>
    <t>Vaagnaluu defekti asenduv tugiimplantaat</t>
  </si>
  <si>
    <t>2675L</t>
  </si>
  <si>
    <t>Vaagnaluu defekti asenduv trabekulaarmetall implantaat</t>
  </si>
  <si>
    <t>Negatiivse rõhuga kinnine süsteem (vaakumteraapia-VAC süsteem)</t>
  </si>
  <si>
    <t>2676L</t>
  </si>
  <si>
    <t>VAC haavasideme väike komplekt</t>
  </si>
  <si>
    <t>VAC haavasideme keskmine komplekt</t>
  </si>
  <si>
    <t>VAC haavasideme suur komplekt</t>
  </si>
  <si>
    <t>VAC haavasideme XL komplekt</t>
  </si>
  <si>
    <t>Kogumiskanister geeliga VAC ATS</t>
  </si>
  <si>
    <t>TRAC kinnitus</t>
  </si>
  <si>
    <t xml:space="preserve">INFO VAC  aparaat </t>
  </si>
  <si>
    <t>Y-konnektor</t>
  </si>
  <si>
    <t>Kodus kasutatav negatiivse rõhuga kinnine süsteem (vaakumteraapia-VAC süsteem)</t>
  </si>
  <si>
    <t>2682L</t>
  </si>
  <si>
    <t>VAC aparaat</t>
  </si>
  <si>
    <t>Plaastrid</t>
  </si>
  <si>
    <t>Infitseeritud luukolde ja luu defekti täitmiseks vajalik bioimplantaat</t>
  </si>
  <si>
    <t>2677L</t>
  </si>
  <si>
    <t>Graanulid 50 ml= 1 viaal</t>
  </si>
  <si>
    <t>Endoproteesimisel kasutatav tavaline tsement 40 g või põletikuvastast vahendit sisaldav tsement 20 g</t>
  </si>
  <si>
    <t>2678L</t>
  </si>
  <si>
    <t>Närviplastikas kasutatav resorbeeruv tehisimplantaat pikkusega 20-30 mm</t>
  </si>
  <si>
    <t>2722L</t>
  </si>
  <si>
    <t>Resorbeeruv tehisimplantaat</t>
  </si>
  <si>
    <t>Kirurgiline navigatsioonisüsteem</t>
  </si>
  <si>
    <t>2723L</t>
  </si>
  <si>
    <t>Navigatsioonisüsteem</t>
  </si>
  <si>
    <t>117,88 </t>
  </si>
  <si>
    <t>Ekstrakorporaalne membraanokügenatsiooni (ECMO) aparaat</t>
  </si>
  <si>
    <t>2961L</t>
  </si>
  <si>
    <t xml:space="preserve">Intratekaalnebaklofeenravimpumba komplekt </t>
  </si>
  <si>
    <t>2730L</t>
  </si>
  <si>
    <t>ITB ravimpump</t>
  </si>
  <si>
    <t>ITB pumba seadistusvahend</t>
  </si>
  <si>
    <t>ITB spinaalkateeter</t>
  </si>
  <si>
    <t>ITB pumbakateeter</t>
  </si>
  <si>
    <t>ITB tunnelitroakaar</t>
  </si>
  <si>
    <t>ITB pumba revisioonkomplekt</t>
  </si>
  <si>
    <t>ITB pumba täitmiskomplekt</t>
  </si>
  <si>
    <t>ITB pumba isehaakuv ühendus</t>
  </si>
  <si>
    <t>Proksimaalse kateetri revisiooni kompl</t>
  </si>
  <si>
    <t>Distaalse kateetri revisiooni komplekt</t>
  </si>
  <si>
    <t>ITB pumba seadistusmagnet</t>
  </si>
  <si>
    <t>Juhtekateeter</t>
  </si>
  <si>
    <t>ITB ravipumba kateetri lisatarvikud</t>
  </si>
  <si>
    <t xml:space="preserve">Intratekaalnebaklofeenravimpumba revisiooni komplekt </t>
  </si>
  <si>
    <t>2731L</t>
  </si>
  <si>
    <t>Sutureless Pump Connector</t>
  </si>
  <si>
    <t>Proximal revision kit</t>
  </si>
  <si>
    <t>Distal revision kit</t>
  </si>
  <si>
    <t xml:space="preserve">Südame vatsakest/vatsakesi toetav seade (VAD) </t>
  </si>
  <si>
    <t>2511L</t>
  </si>
  <si>
    <t>Südamestabilisaatori komplekt</t>
  </si>
  <si>
    <t>2512L</t>
  </si>
  <si>
    <t>Mehhaaniline  südameklapiprotees</t>
  </si>
  <si>
    <t>2513L</t>
  </si>
  <si>
    <t>Bioloogiline südameklapiprotees</t>
  </si>
  <si>
    <t>2515L</t>
  </si>
  <si>
    <t>Bioloogiline perikardist südameklapiprotees</t>
  </si>
  <si>
    <t>2516L</t>
  </si>
  <si>
    <t>Mehhaanilise südameklapiga liitprotees</t>
  </si>
  <si>
    <t>2517L</t>
  </si>
  <si>
    <t>Südameklapi tugirõngas</t>
  </si>
  <si>
    <t>2518L</t>
  </si>
  <si>
    <t>Üleneva aordi Valsalva protees</t>
  </si>
  <si>
    <t>2519L</t>
  </si>
  <si>
    <t>Südame poolkuuklapi endovaskulaarne protees (TAVI)</t>
  </si>
  <si>
    <t>2520L</t>
  </si>
  <si>
    <t>Arütmiate kirurgilise ablatsioonravi kateeter</t>
  </si>
  <si>
    <t>2521L</t>
  </si>
  <si>
    <t xml:space="preserve">Vereloome tüvirakkude ja terapeutiliste rakkude käitlemise tarvikute komplekt </t>
  </si>
  <si>
    <t>2962L</t>
  </si>
  <si>
    <t>Krükott</t>
  </si>
  <si>
    <t>Süstal (50 ml, 10 ml, 2 ml, 20 ml)</t>
  </si>
  <si>
    <t>Albumiin 20%</t>
  </si>
  <si>
    <t>dimetüülsulfoksiid</t>
  </si>
  <si>
    <t>NaCl 0,9%</t>
  </si>
  <si>
    <t>ühekordse kasutusega plastikkott</t>
  </si>
  <si>
    <t>Ühekordne meditsiiniline väiketarvik (Combi Stopper, Benja Mix, Mini Spike, BD Connecta)</t>
  </si>
  <si>
    <t>Nõelad</t>
  </si>
  <si>
    <t>Miniklips ajuveresoonte haiguste operatsioonil</t>
  </si>
  <si>
    <t>2724L</t>
  </si>
  <si>
    <t>Püsiva rõhuga klapiga ajuvatsakese šunteerimise komplekt</t>
  </si>
  <si>
    <t>2725L</t>
  </si>
  <si>
    <t>Ventrikli kateeter</t>
  </si>
  <si>
    <t>Distaalne atriaalne/peritoneaalne kateeter</t>
  </si>
  <si>
    <t>Madalrõhu klapp</t>
  </si>
  <si>
    <t>Antisifoon-klapp</t>
  </si>
  <si>
    <t>2726L</t>
  </si>
  <si>
    <t>Antisifoon klapp</t>
  </si>
  <si>
    <t>Kaela tagumise spondülodeesi vahendid</t>
  </si>
  <si>
    <t>2727L</t>
  </si>
  <si>
    <t>Kruvide komplekt</t>
  </si>
  <si>
    <t>3.2 X 100MM varras</t>
  </si>
  <si>
    <t>3.5 X 14MM varras</t>
  </si>
  <si>
    <t>4.0 X 16MM varras</t>
  </si>
  <si>
    <t xml:space="preserve">Jäik kaeladiski protees täidisega </t>
  </si>
  <si>
    <t>2728L</t>
  </si>
  <si>
    <t>Jäik kaeladiski protees</t>
  </si>
  <si>
    <t>Täidis</t>
  </si>
  <si>
    <t>Vertebroplastika kompkt</t>
  </si>
  <si>
    <t>2729L</t>
  </si>
  <si>
    <t>Vertebroplastika tsement</t>
  </si>
  <si>
    <t>Vertebroplastika komplekt (V-max seade ehk seade tsemendi segamiseks ja 2 trnaspedikulaarset)</t>
  </si>
  <si>
    <t>V-max nõelad, tk</t>
  </si>
  <si>
    <t>Kõhuaordi endovaskulaarne stentprotees</t>
  </si>
  <si>
    <t>2818L</t>
  </si>
  <si>
    <t xml:space="preserve">Kõhuaordi aneurüsmi endoprotees (Gore) </t>
  </si>
  <si>
    <t>Sisestuskanüül 12-24F</t>
  </si>
  <si>
    <t>Juhtetraat 0.035''</t>
  </si>
  <si>
    <t>Ülijäik juhtetraat</t>
  </si>
  <si>
    <t xml:space="preserve">Üledilatatsiooni baloonkateeter </t>
  </si>
  <si>
    <t>AAA endoproteesi põhitüvi (Vacutec)</t>
  </si>
  <si>
    <t>Sisestuskanüül</t>
  </si>
  <si>
    <t>Mitte-magnetiline juhtetraat</t>
  </si>
  <si>
    <t>Aordi dilatatsiooniballoon</t>
  </si>
  <si>
    <t>Kontralateraalne juhtekateeter</t>
  </si>
  <si>
    <t>Kontralateraalne magnetiline juhtekateeter</t>
  </si>
  <si>
    <t>Niudearteri endoprotees, sirge</t>
  </si>
  <si>
    <t>Niudearteri endoprotees, laienev</t>
  </si>
  <si>
    <t>Torakaalaordi endovaskulaarne stentprotees</t>
  </si>
  <si>
    <t>2819L</t>
  </si>
  <si>
    <t>Toarakaalaordi endoprotees</t>
  </si>
  <si>
    <t>Introducer 12-24F</t>
  </si>
  <si>
    <t>Juhetraat 0.035''</t>
  </si>
  <si>
    <t>Mõõtekateeter</t>
  </si>
  <si>
    <t xml:space="preserve">Üledilatsiooni baloonkateeter </t>
  </si>
  <si>
    <t>Kõhuaordi endovaskulaarse stentproteesi proksimaalne pikendus</t>
  </si>
  <si>
    <t>2820L</t>
  </si>
  <si>
    <t>Proksimaalne pikendus (Vacutec)</t>
  </si>
  <si>
    <t>Proksimaalne pikendus (Core)</t>
  </si>
  <si>
    <t>Kõhuaordi endovaskulaarse stentproteesi distaalne pikendus</t>
  </si>
  <si>
    <t>2821L</t>
  </si>
  <si>
    <t>Distaalne pikendus</t>
  </si>
  <si>
    <t>Silma vesivedelikku dreneeriv seade</t>
  </si>
  <si>
    <t>2876L</t>
  </si>
  <si>
    <t>Express šunt</t>
  </si>
  <si>
    <t xml:space="preserve">Hemostaatiline ravimkäsn </t>
  </si>
  <si>
    <t>2963L</t>
  </si>
  <si>
    <t xml:space="preserve">Kraniofatsiaalse osteosünteesi resorbeeruvate implantaatide komplekt </t>
  </si>
  <si>
    <t>2644L</t>
  </si>
  <si>
    <t>RESORB X-PLATE 1.0 MM, 126X126 MM</t>
  </si>
  <si>
    <t>RESORB-X MESH PLATE 1.0 MM, 16X251 MM</t>
  </si>
  <si>
    <t>RESORB X-PLATE 0,8 MM, 11X126 MM</t>
  </si>
  <si>
    <t>SONICPINS RX 1,6X4 MM (20 tk)</t>
  </si>
  <si>
    <t>SONICPINS RX 1,6x4 MM (5 tk)</t>
  </si>
  <si>
    <t>BOS-BATTERY PACK, steriilne</t>
  </si>
  <si>
    <t>SYSTEM COMPLETE</t>
  </si>
  <si>
    <t>Vee kuumutusvann steriliseeritav RESORB X XCELSIOR</t>
  </si>
  <si>
    <t>SONOTRODE otsik, sirge</t>
  </si>
  <si>
    <t>BOS DRILL käepide puurile</t>
  </si>
  <si>
    <t>BOS-aku, steriilne ühekordne (pakis 10 tk)</t>
  </si>
  <si>
    <t>Pin kassettide hoidja, steriliseeritav</t>
  </si>
  <si>
    <t>Konteiner MICROSTOP MINISET 310X189X90MM</t>
  </si>
  <si>
    <t>Rest kaanega MINISET, 277X171X54 MM</t>
  </si>
  <si>
    <t>Alusrest komponentidedele</t>
  </si>
  <si>
    <t>Komponentide resti kaas</t>
  </si>
  <si>
    <t>Puur 1.0X40X4MM, BOS-käepidemele</t>
  </si>
  <si>
    <t>Puur 1.6X40X5MM, BOS-käepidemele</t>
  </si>
  <si>
    <t>Transobturatoorne retroluminaalne ling </t>
  </si>
  <si>
    <t>2964L</t>
  </si>
  <si>
    <t xml:space="preserve">Vaginaalne proleenling </t>
  </si>
  <si>
    <t>2965L</t>
  </si>
  <si>
    <t>Diafragma elektrilise aktiivsuse registreerimise nasogastraalsond</t>
  </si>
  <si>
    <t>2966L</t>
  </si>
  <si>
    <t>Y-kujuline hõbedaga immutatud dakroonprotees</t>
  </si>
  <si>
    <t>2967L</t>
  </si>
  <si>
    <t>Lineaarne hõbedaga immutatud dakroonprotees</t>
  </si>
  <si>
    <t>2968L</t>
  </si>
  <si>
    <t>Ühekambriline südamestimulaator</t>
  </si>
  <si>
    <t>2524L</t>
  </si>
  <si>
    <t>Kahekambriline südamestimulaator</t>
  </si>
  <si>
    <t>2525L</t>
  </si>
  <si>
    <t>Resünkroniseeriva ravi võimalusega implanteeritav kardioverter-defibrillaator(CRT ICD)</t>
  </si>
  <si>
    <t>2526L</t>
  </si>
  <si>
    <t>DDD-tüüpi implanteeritav kardioverter-defibrillaator (DDD ICD</t>
  </si>
  <si>
    <t>2527L</t>
  </si>
  <si>
    <t>VVI-tüüpi implanteeritav kardioverter-defibrillaator</t>
  </si>
  <si>
    <t>2528L</t>
  </si>
  <si>
    <t>Biventrikulaarne kardiostimulaator resünkroniseerivaks raviks</t>
  </si>
  <si>
    <t>2529L</t>
  </si>
  <si>
    <t>Endoskoobipealse  klipsi ankur või haarats</t>
  </si>
  <si>
    <t>2975L</t>
  </si>
  <si>
    <t>Endoskoobipealne klips seedetrakti verejooksu sulgemiseks</t>
  </si>
  <si>
    <t>2976L</t>
  </si>
  <si>
    <t>Endoskoobipealne klips söögitoru perforatsiooni sulgemiseks</t>
  </si>
  <si>
    <t>2977L</t>
  </si>
  <si>
    <t>Endoskoobipealne klips alumise seedetrakti perforatsiooni sulgemiseks</t>
  </si>
  <si>
    <t>2978L</t>
  </si>
  <si>
    <t>Endoskoobipealne klips mao või duodeenumi kroonilise lesiooni/fistuli sulgemiseks</t>
  </si>
  <si>
    <t>2979L</t>
  </si>
  <si>
    <t>Intrabronhiaalne klapp (EBV/IBV)</t>
  </si>
  <si>
    <t>2970L</t>
  </si>
  <si>
    <t>Intrabronhiaalse klapi laadimisseade</t>
  </si>
  <si>
    <t>2971L</t>
  </si>
  <si>
    <t xml:space="preserve">Bronhide mõõtekomplekt  ja mõõteballoon </t>
  </si>
  <si>
    <t>2972L</t>
  </si>
  <si>
    <t xml:space="preserve">Bronhide mõõtekomplekt  </t>
  </si>
  <si>
    <t>Bronhide mõõteballoon</t>
  </si>
  <si>
    <t>Ajuarterite trombektoomia komplekt</t>
  </si>
  <si>
    <t>2969L</t>
  </si>
  <si>
    <t>Trombektoomia seade</t>
  </si>
  <si>
    <t>1.seade 100%, 2.seade 30%</t>
  </si>
  <si>
    <t>Ajutise oklusiooni balloonkateeter</t>
  </si>
  <si>
    <t>Mikrokateeter</t>
  </si>
  <si>
    <t>1.kateeter 100%, 2. kateeter 30%</t>
  </si>
  <si>
    <t>Giidkateeter</t>
  </si>
  <si>
    <t>Distaalse juurdepääsukateeter</t>
  </si>
  <si>
    <t> 1</t>
  </si>
  <si>
    <t>Aspiratsioonikateeter</t>
  </si>
  <si>
    <t>Mikrojutetraat</t>
  </si>
  <si>
    <t> 2</t>
  </si>
  <si>
    <t>1.traat 100%, 2. traat 50%</t>
  </si>
  <si>
    <t>Diagnostiline kateeter</t>
  </si>
  <si>
    <t>1.kateeter 100%, 2. kateeter 50%</t>
  </si>
  <si>
    <t>Prolapsi võrk (eesmine)</t>
  </si>
  <si>
    <t>2980L</t>
  </si>
  <si>
    <t>Prolapsi võrk (tagumine)</t>
  </si>
  <si>
    <t>2981L</t>
  </si>
  <si>
    <t>Emaka tamponaadiballoon</t>
  </si>
  <si>
    <t>2983L</t>
  </si>
  <si>
    <t>Koeekspander</t>
  </si>
  <si>
    <t>2984L</t>
  </si>
  <si>
    <t>Rinnaimplantaat</t>
  </si>
  <si>
    <t>2985L</t>
  </si>
  <si>
    <t>Rinna titaanvõrkl</t>
  </si>
  <si>
    <t>2986L</t>
  </si>
  <si>
    <t>Rinna titaanvõrk</t>
  </si>
  <si>
    <t>Lahastamise komplekt näo- ja lõualuukirurgias</t>
  </si>
  <si>
    <t>2929L</t>
  </si>
  <si>
    <t>SmartLock plaat</t>
  </si>
  <si>
    <t>Lukustuskruvi</t>
  </si>
  <si>
    <t>Traat Ø 0,5</t>
  </si>
  <si>
    <t>Kergem lahastamise komplekt</t>
  </si>
  <si>
    <t>Uitnärvi stimulaatori komplekt mahuga 8 cm3</t>
  </si>
  <si>
    <t>2732L</t>
  </si>
  <si>
    <t>Uitnärvi stimulaator 8 cm3</t>
  </si>
  <si>
    <t>Kaablite komplekt</t>
  </si>
  <si>
    <t>Uitnärvi stimulaatori komplekt mahuga 14 cm3</t>
  </si>
  <si>
    <t>2733L</t>
  </si>
  <si>
    <t>Uitnärvi stimulaator mahuga 14 cm3</t>
  </si>
  <si>
    <t>Intermaksillaarse fiksatsiooni kruvide  (IMF) komplekt (4 tk)</t>
  </si>
  <si>
    <t>2679L</t>
  </si>
  <si>
    <t>Alalõualuuliigese totaalne uniltareraalne endoprotees</t>
  </si>
  <si>
    <t>2680L</t>
  </si>
  <si>
    <t>Anatoomiline luumudel</t>
  </si>
  <si>
    <t>Protees</t>
  </si>
  <si>
    <t>Fikseerimiskruvid</t>
  </si>
  <si>
    <t>Eripuur</t>
  </si>
  <si>
    <t>Tehniline dokumentatsioon</t>
  </si>
  <si>
    <t>Digitaalse planeeringu informatsioon ja pildid</t>
  </si>
  <si>
    <t>Tehniline ja logistiline tugi</t>
  </si>
  <si>
    <t>Tolli- ja saatmiskulud</t>
  </si>
  <si>
    <t>Alalõualuuliigese totaalne biltareraalne endoprotees</t>
  </si>
  <si>
    <t>2681L</t>
  </si>
  <si>
    <t>Perifeerse veresoone iselaienev või balloonlaiendatav stent</t>
  </si>
  <si>
    <t>2973L</t>
  </si>
  <si>
    <t>Perifeerse veresoone madala profiiliga iselaienev või balloonlaiendatav stent</t>
  </si>
  <si>
    <t>2974L</t>
  </si>
  <si>
    <t>Embolprotektsiooniseade</t>
  </si>
  <si>
    <t>2822L</t>
  </si>
  <si>
    <t>Ravimkaetud perifeerne stent</t>
  </si>
  <si>
    <t>2823L</t>
  </si>
  <si>
    <t>Ravimkaetud perifeerne balloon</t>
  </si>
  <si>
    <t>2824L</t>
  </si>
  <si>
    <t>Perifeerne stentprotees</t>
  </si>
  <si>
    <t>2825L</t>
  </si>
  <si>
    <t>Endarterektoomia või trombektoomia seade</t>
  </si>
  <si>
    <t>2826L</t>
  </si>
  <si>
    <t xml:space="preserve">Laparoskoopilise sakrokolpopeksia  võrk  </t>
  </si>
  <si>
    <t>2987L</t>
  </si>
  <si>
    <t xml:space="preserve">Laparoskoopilise lateraalse suspensiooni võrk </t>
  </si>
  <si>
    <t>2988L</t>
  </si>
  <si>
    <t>CRT elektrood</t>
  </si>
  <si>
    <t>2530L</t>
  </si>
  <si>
    <t>ICD elektrood</t>
  </si>
  <si>
    <t>2531L</t>
  </si>
  <si>
    <t>Südamestimulaatori elektroodi eemaldamise komplekt</t>
  </si>
  <si>
    <t>2532L</t>
  </si>
  <si>
    <t>Mitraalklapi perkutaanse plastika vahend (komplekt)</t>
  </si>
  <si>
    <t>2533L</t>
  </si>
  <si>
    <t>Vasaku koja kõrvakese sulgur (komplekt)</t>
  </si>
  <si>
    <t>2534L</t>
  </si>
  <si>
    <t>Pärgarteri stent</t>
  </si>
  <si>
    <t>2535L</t>
  </si>
  <si>
    <t>Adenosiin (1 viaal)</t>
  </si>
  <si>
    <t>2536L</t>
  </si>
  <si>
    <t>Intraduktaalse litotripsia lisavahendite komplekt</t>
  </si>
  <si>
    <t>2771L</t>
  </si>
  <si>
    <t>Endoskoopilise kolangiskoopia biopsiatangid</t>
  </si>
  <si>
    <t>2772L</t>
  </si>
  <si>
    <t>Endoskoopilise submukoosse dissektsiooni nuga</t>
  </si>
  <si>
    <t>2773L</t>
  </si>
  <si>
    <t>Endoskoopilise submukoosse dissektsiooni hemostaatilised tangid</t>
  </si>
  <si>
    <t>2774L</t>
  </si>
  <si>
    <t>Anatoomiline lukustatav keskmine (3,5 kruvidega) osteosünteesi plaat</t>
  </si>
  <si>
    <t>2775L</t>
  </si>
  <si>
    <t xml:space="preserve">Lukustatav distaalse kodarluu murru plaat </t>
  </si>
  <si>
    <t xml:space="preserve">Randme artrodeesi implantaat </t>
  </si>
  <si>
    <t>Lukustatavad X – kujulised plaadid 2,7 kruvile</t>
  </si>
  <si>
    <t>Rangluu abaluu liiduse konksplaat (Clavicular Hook Plate)</t>
  </si>
  <si>
    <t>Rangluu anatoomilised (superior/anterior/lateral) plaadid</t>
  </si>
  <si>
    <t>Abaluu anatoomilised plaadid</t>
  </si>
  <si>
    <t xml:space="preserve">Õlavarreluu distaalne (lateraalne/posterolateraalne/mediaalne/ekstraartikulaarne) lukustatav plaat </t>
  </si>
  <si>
    <t xml:space="preserve">Õlavarreluu distaalne (lateraalne/posterolateraalne/mediaalne/ekstraartikulaarne) lukustatav AV kruvidega plaat </t>
  </si>
  <si>
    <t xml:space="preserve">Õlavarreluu metafüsaarne lukustatav plaat </t>
  </si>
  <si>
    <t xml:space="preserve">Õlavarreluu proksimaalne lukustatav plaat </t>
  </si>
  <si>
    <t>Küünarnuki murru plaatfiksaator (Olecranon plate)</t>
  </si>
  <si>
    <t>Küünarluu (proksimaalne ja ekstraartikulaarne) plaat</t>
  </si>
  <si>
    <t>Vaagnaluude (kaarekujuline, J, sümfüüsi) plaadid</t>
  </si>
  <si>
    <t xml:space="preserve">Lukustatav sääreluu distaalne metafüsaarne plaat </t>
  </si>
  <si>
    <t>Sääreluu proksimaalne lateraalne lukustuv L-kujuline plaat</t>
  </si>
  <si>
    <t>Sääreluu proksimaalne posteromediaalne lukustuv plaat</t>
  </si>
  <si>
    <t>Sääreluu distaalne metafüsaarne lukustuv plaat</t>
  </si>
  <si>
    <t>Sääreluu distaalsed (mediaalne/anterolateraalne/pilon) plaat</t>
  </si>
  <si>
    <t>Pindluu lukustatav plaat</t>
  </si>
  <si>
    <t>Kandluu plaat (lukustatav)</t>
  </si>
  <si>
    <t>Anatoomiline lukustatav suur (4,0 - 6,5 kruvidega) osteosünteesi plaat</t>
  </si>
  <si>
    <t>2776L</t>
  </si>
  <si>
    <t xml:space="preserve">Reieluu suurt pöörlat stabiliseeriv implantaat (Trochanter Stabilizing Plate) </t>
  </si>
  <si>
    <t>Suure pöörla konksplaat</t>
  </si>
  <si>
    <t>Reieluu distaalsed lateraalsed plaadid</t>
  </si>
  <si>
    <t>Reieluu proksimaased ja distaalsed plaadid</t>
  </si>
  <si>
    <t>Sääreluu proksimaalse otsa (lateraalne/mediaalne) plaat</t>
  </si>
  <si>
    <t>Lukustatavad erikujulised (T, L, plaadid) komplekt</t>
  </si>
  <si>
    <t>Lukustatav sääreluu  distaalne metafüsaarne plaat</t>
  </si>
  <si>
    <t>Anatoomiline väike (kuni 2,7 kruvidega) osteosünteesi plaat</t>
  </si>
  <si>
    <t>2777L</t>
  </si>
  <si>
    <t>Erikujulised (T; L; H; Y; X; O) ja sirged kuni 1,5mm lukustatavad plaadid</t>
  </si>
  <si>
    <t>Kandluu ja kontsluu osteosünteesi plaadid</t>
  </si>
  <si>
    <t>Erivajadustega osteosünteesi plaat</t>
  </si>
  <si>
    <t>2778L</t>
  </si>
  <si>
    <t>LPHP plaat õlavarre proksimaalsete murdude raviks</t>
  </si>
  <si>
    <t xml:space="preserve">LISS komplekt reieluu  ja sääreluu murdude raviks </t>
  </si>
  <si>
    <t>Pikk lukustav  plaatkomplekt Philos  õlavarreluu murru  fikseerimiseks</t>
  </si>
  <si>
    <t>periproteesmurdude osteosünteesi komplekt</t>
  </si>
  <si>
    <t>Tomofix süsteem</t>
  </si>
  <si>
    <t>Universaalne keskmine (kuni 3,5mm) osteosünteesi plaat</t>
  </si>
  <si>
    <t>2779L</t>
  </si>
  <si>
    <t>Lukustav keskmine osteosünteesi plaat</t>
  </si>
  <si>
    <t xml:space="preserve">Lukustatav sirge rekonstruktsiooniplaat kuni 10 auku (RECO) </t>
  </si>
  <si>
    <t xml:space="preserve">Lukustatav sirge rekonstruktsiooniplaat üle 10 augu (RECO) </t>
  </si>
  <si>
    <t xml:space="preserve">Lukustatav kumer rekonstruktsiooniplaat (RECO) </t>
  </si>
  <si>
    <t>1/3 lukustatav tubulaarplaat</t>
  </si>
  <si>
    <t>Madala profiiliga RECO</t>
  </si>
  <si>
    <t>Universaalne suur (4,0-6,5 mm) osteosünteesi plaat</t>
  </si>
  <si>
    <t>2780L</t>
  </si>
  <si>
    <t xml:space="preserve">Lukustatav rekonstruktsiooniplaat (RECO) </t>
  </si>
  <si>
    <t xml:space="preserve">Kitsas lukustatav (LCP) suure osteosünteesi </t>
  </si>
  <si>
    <t xml:space="preserve">Lai lukustatav (LCP) suure osteosünteesi </t>
  </si>
  <si>
    <t>Kumer lukustatav plaat</t>
  </si>
  <si>
    <t>L ja T kujulised buttress plaadid</t>
  </si>
  <si>
    <t>Toruluu ettepuurimata nael</t>
  </si>
  <si>
    <t>2781L</t>
  </si>
  <si>
    <t>UTN ( sääre nael)</t>
  </si>
  <si>
    <t>UFN (reieluu nael)</t>
  </si>
  <si>
    <t>UHN ( õlavarreluu nael)</t>
  </si>
  <si>
    <t>Reieluu ettepuurimiseta proksimaalne nael</t>
  </si>
  <si>
    <t>2782L</t>
  </si>
  <si>
    <t>Liigese sidemete metallist kinnitusvahend</t>
  </si>
  <si>
    <t>2783L</t>
  </si>
  <si>
    <t>Õlaliigesesideme kinnitusankur või/ja  -kruvi</t>
  </si>
  <si>
    <t>Põlveliigesesideme kinnituskruvi</t>
  </si>
  <si>
    <t>Artrodeesi klamber</t>
  </si>
  <si>
    <t>Mittelukustuv luukruvi</t>
  </si>
  <si>
    <t>2784L</t>
  </si>
  <si>
    <t>2,5 luukruvi käele</t>
  </si>
  <si>
    <t>3,5 luukruvi</t>
  </si>
  <si>
    <t>2,8 luukruvi</t>
  </si>
  <si>
    <t xml:space="preserve">Suur luukruvi </t>
  </si>
  <si>
    <t>Säsiluu kruvi</t>
  </si>
  <si>
    <t xml:space="preserve">Kanüleeritud luukruvi </t>
  </si>
  <si>
    <t>2785L</t>
  </si>
  <si>
    <t>4,5 säsiluu kanüleeritud</t>
  </si>
  <si>
    <t>6,5 säsiluu kanüleeritud</t>
  </si>
  <si>
    <t>7,3 säsiluu kanüleeritud</t>
  </si>
  <si>
    <t xml:space="preserve">HCS </t>
  </si>
  <si>
    <t xml:space="preserve">4,0 kanüleeritud </t>
  </si>
  <si>
    <t>Käe kruvid</t>
  </si>
  <si>
    <t>Jala kruvid</t>
  </si>
  <si>
    <t>Lukustatav kruvi</t>
  </si>
  <si>
    <t>2786L</t>
  </si>
  <si>
    <t>Suur 5.0 lukustuv kruvi</t>
  </si>
  <si>
    <t>Keskmine 3,5 lukustuv kruvi</t>
  </si>
  <si>
    <t>2,5 käe lukustuv</t>
  </si>
  <si>
    <t>2,8 lukustuv kruvi jalale</t>
  </si>
  <si>
    <t>Jäseme pikendamisel kasutatav varraste komplekt</t>
  </si>
  <si>
    <t>2787L</t>
  </si>
  <si>
    <t>Elastsete varraste komplekt</t>
  </si>
  <si>
    <t>2788L</t>
  </si>
  <si>
    <t>Elastsete osteosünteesivarraste komplekt</t>
  </si>
  <si>
    <t>Välisfiksatsiooni komplekt</t>
  </si>
  <si>
    <t>2789L</t>
  </si>
  <si>
    <t xml:space="preserve">Suure segmendi välisfiksatsiooni süsteem 
</t>
  </si>
  <si>
    <t>Välisfiksatsiooni minisüsteem</t>
  </si>
  <si>
    <t>Väikese segmendi välisfiksatsiooni süsteem</t>
  </si>
  <si>
    <t>Kirschneri varras</t>
  </si>
  <si>
    <t>2790L</t>
  </si>
  <si>
    <t>Suure liigese pool või ajutine protees</t>
  </si>
  <si>
    <t>2791L</t>
  </si>
  <si>
    <t>Õlaliigese poolprotees</t>
  </si>
  <si>
    <t xml:space="preserve">Puusaliigese poolprotees </t>
  </si>
  <si>
    <t>Puusaliigese antibiootikumiga asendusimplantaat</t>
  </si>
  <si>
    <t>Põlveliigese antibiootikumiga asendusimplantaat</t>
  </si>
  <si>
    <t>Ortopeedilises kirurgias kasutatavad mittemetalsed implantaadid</t>
  </si>
  <si>
    <t>2792L</t>
  </si>
  <si>
    <t>Osteosünteesil ning kõõluse ja sidekoe aparaadi kirurgias  kasutatavad resorbeeruvad implantaadid</t>
  </si>
  <si>
    <t>Reieluu murru DHS/DCS või monoblokk implantaat</t>
  </si>
  <si>
    <t>2793L</t>
  </si>
  <si>
    <t>Reieluukaela mediaalse murru implantaat (mono)</t>
  </si>
  <si>
    <t>Osteosünteesi dünaamiline puusaliigese kruvi/põntade  süsteemi (DHS/DCS) komplekt</t>
  </si>
  <si>
    <t>Liigese sideaparaadi või kõõluse asendusimplantaat</t>
  </si>
  <si>
    <t>2794L</t>
  </si>
  <si>
    <t>Ekstrakorporaalse membraanoksügenatsiooni (ECMO) aparaadi vahetamise komplekt</t>
  </si>
  <si>
    <t>2959L</t>
  </si>
  <si>
    <t>Peaajuarterite embolisatsiooni vältimise seade</t>
  </si>
  <si>
    <t>2537L</t>
  </si>
  <si>
    <t>Polüakrüülamiid hüdrogeel (2ml) kroonilise stressinkontinentsi raviks</t>
  </si>
  <si>
    <t>2914L</t>
  </si>
  <si>
    <t>Endoskoobipealse klipsi süsteem</t>
  </si>
  <si>
    <t>2989L</t>
  </si>
  <si>
    <t>Lumbo-sakraalnärvide elektrilise modulatsiooni testseadme komplekt</t>
  </si>
  <si>
    <t>2990L</t>
  </si>
  <si>
    <t>Interstim II teststimulaator</t>
  </si>
  <si>
    <t>Lumbo-sakraalnärvide elektrilise modulatsiooni püsiseadme komplekt</t>
  </si>
  <si>
    <t>2991L</t>
  </si>
  <si>
    <t>Interstim II neurostimulaator</t>
  </si>
  <si>
    <t>Diafragma/freenilise närvi stimulaatori transmitter</t>
  </si>
  <si>
    <t>2992L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</si>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</sst>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9"/>
      <name val="Times New Roman"/>
      <family val="1"/>
    </font>
    <font>
      <sz val="10"/>
      <name val="Arial"/>
      <family val="2"/>
      <charset val="186"/>
    </font>
    <font>
      <sz val="10"/>
      <color indexed="8"/>
      <name val="Arial"/>
      <family val="2"/>
    </font>
    <font>
      <sz val="11"/>
      <name val="Times New Roman"/>
      <family val="1"/>
    </font>
    <font>
      <sz val="10"/>
      <name val="Arial"/>
      <family val="2"/>
      <charset val="186"/>
    </font>
    <font>
      <b/>
      <sz val="11"/>
      <name val="Times New Roman"/>
      <family val="1"/>
      <charset val="186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i/>
      <sz val="9"/>
      <name val="Arial"/>
      <family val="2"/>
      <charset val="186"/>
    </font>
    <font>
      <sz val="9"/>
      <color rgb="FF000000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" fontId="4" fillId="2" borderId="1" applyNumberFormat="0" applyProtection="0">
      <alignment horizontal="right" vertical="center"/>
    </xf>
    <xf numFmtId="0" fontId="3" fillId="3" borderId="1" applyNumberFormat="0" applyProtection="0">
      <alignment horizontal="left" vertical="center" indent="1"/>
    </xf>
    <xf numFmtId="0" fontId="3" fillId="0" borderId="0"/>
    <xf numFmtId="0" fontId="1" fillId="0" borderId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/>
  </cellStyleXfs>
  <cellXfs count="64">
    <xf numFmtId="0" fontId="0" fillId="0" borderId="0" xfId="0"/>
    <xf numFmtId="0" fontId="2" fillId="4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vertical="center" wrapText="1"/>
    </xf>
    <xf numFmtId="2" fontId="2" fillId="0" borderId="0" xfId="0" applyNumberFormat="1" applyFont="1" applyAlignment="1">
      <alignment horizontal="right" vertical="center" wrapText="1"/>
    </xf>
    <xf numFmtId="0" fontId="2" fillId="4" borderId="0" xfId="0" applyFont="1" applyFill="1"/>
    <xf numFmtId="0" fontId="2" fillId="0" borderId="0" xfId="0" applyFont="1"/>
    <xf numFmtId="0" fontId="5" fillId="4" borderId="3" xfId="0" applyFont="1" applyFill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3" fillId="0" borderId="0" xfId="0" applyFont="1"/>
    <xf numFmtId="43" fontId="2" fillId="0" borderId="0" xfId="6" applyFont="1" applyFill="1" applyAlignment="1">
      <alignment wrapText="1"/>
    </xf>
    <xf numFmtId="0" fontId="8" fillId="4" borderId="2" xfId="0" applyFont="1" applyFill="1" applyBorder="1" applyAlignment="1">
      <alignment vertical="top"/>
    </xf>
    <xf numFmtId="49" fontId="8" fillId="4" borderId="2" xfId="0" applyNumberFormat="1" applyFont="1" applyFill="1" applyBorder="1" applyAlignment="1">
      <alignment vertical="top" wrapText="1"/>
    </xf>
    <xf numFmtId="0" fontId="8" fillId="4" borderId="2" xfId="0" applyFont="1" applyFill="1" applyBorder="1" applyAlignment="1">
      <alignment vertical="top" wrapText="1"/>
    </xf>
    <xf numFmtId="0" fontId="8" fillId="4" borderId="2" xfId="0" applyFont="1" applyFill="1" applyBorder="1" applyAlignment="1">
      <alignment horizontal="right" vertical="top" wrapText="1"/>
    </xf>
    <xf numFmtId="2" fontId="8" fillId="4" borderId="2" xfId="0" applyNumberFormat="1" applyFont="1" applyFill="1" applyBorder="1" applyAlignment="1">
      <alignment horizontal="right" vertical="top" wrapText="1"/>
    </xf>
    <xf numFmtId="0" fontId="9" fillId="4" borderId="2" xfId="0" applyFont="1" applyFill="1" applyBorder="1" applyAlignment="1">
      <alignment vertical="top"/>
    </xf>
    <xf numFmtId="49" fontId="9" fillId="4" borderId="2" xfId="0" applyNumberFormat="1" applyFont="1" applyFill="1" applyBorder="1" applyAlignment="1">
      <alignment vertical="top" wrapText="1"/>
    </xf>
    <xf numFmtId="0" fontId="9" fillId="4" borderId="2" xfId="0" applyFont="1" applyFill="1" applyBorder="1" applyAlignment="1">
      <alignment vertical="top" wrapText="1"/>
    </xf>
    <xf numFmtId="0" fontId="9" fillId="4" borderId="2" xfId="0" applyFont="1" applyFill="1" applyBorder="1" applyAlignment="1">
      <alignment horizontal="right" vertical="center" wrapText="1"/>
    </xf>
    <xf numFmtId="2" fontId="9" fillId="4" borderId="2" xfId="0" applyNumberFormat="1" applyFont="1" applyFill="1" applyBorder="1" applyAlignment="1">
      <alignment horizontal="right" vertical="center" wrapText="1"/>
    </xf>
    <xf numFmtId="0" fontId="9" fillId="4" borderId="2" xfId="0" applyFont="1" applyFill="1" applyBorder="1"/>
    <xf numFmtId="0" fontId="9" fillId="4" borderId="2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wrapText="1"/>
    </xf>
    <xf numFmtId="0" fontId="9" fillId="0" borderId="2" xfId="0" applyFont="1" applyBorder="1"/>
    <xf numFmtId="0" fontId="9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right" vertical="center" wrapText="1"/>
    </xf>
    <xf numFmtId="2" fontId="9" fillId="0" borderId="2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vertical="top"/>
    </xf>
    <xf numFmtId="49" fontId="9" fillId="0" borderId="2" xfId="0" applyNumberFormat="1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2" fontId="9" fillId="0" borderId="2" xfId="0" applyNumberFormat="1" applyFont="1" applyBorder="1" applyAlignment="1">
      <alignment wrapText="1"/>
    </xf>
    <xf numFmtId="0" fontId="9" fillId="4" borderId="2" xfId="0" applyFont="1" applyFill="1" applyBorder="1" applyAlignment="1">
      <alignment horizontal="left" vertical="top"/>
    </xf>
    <xf numFmtId="0" fontId="10" fillId="4" borderId="2" xfId="0" applyFont="1" applyFill="1" applyBorder="1" applyAlignment="1">
      <alignment vertical="top"/>
    </xf>
    <xf numFmtId="0" fontId="10" fillId="4" borderId="2" xfId="0" applyFont="1" applyFill="1" applyBorder="1" applyAlignment="1">
      <alignment vertical="top" wrapText="1"/>
    </xf>
    <xf numFmtId="0" fontId="9" fillId="0" borderId="2" xfId="0" applyFont="1" applyBorder="1" applyAlignment="1">
      <alignment wrapText="1"/>
    </xf>
    <xf numFmtId="0" fontId="9" fillId="0" borderId="0" xfId="0" applyFont="1"/>
    <xf numFmtId="0" fontId="9" fillId="0" borderId="4" xfId="0" applyFont="1" applyBorder="1"/>
    <xf numFmtId="0" fontId="9" fillId="0" borderId="4" xfId="0" applyFont="1" applyBorder="1" applyAlignment="1">
      <alignment wrapText="1"/>
    </xf>
    <xf numFmtId="0" fontId="9" fillId="0" borderId="4" xfId="0" applyFont="1" applyBorder="1" applyAlignment="1">
      <alignment vertical="center" wrapText="1"/>
    </xf>
    <xf numFmtId="2" fontId="9" fillId="0" borderId="4" xfId="0" applyNumberFormat="1" applyFont="1" applyBorder="1" applyAlignment="1">
      <alignment vertical="center" wrapText="1"/>
    </xf>
    <xf numFmtId="2" fontId="9" fillId="4" borderId="4" xfId="0" applyNumberFormat="1" applyFont="1" applyFill="1" applyBorder="1" applyAlignment="1">
      <alignment horizontal="right" vertical="center" wrapText="1"/>
    </xf>
    <xf numFmtId="0" fontId="9" fillId="5" borderId="2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horizontal="right" vertical="center" wrapText="1"/>
    </xf>
    <xf numFmtId="2" fontId="9" fillId="5" borderId="2" xfId="0" applyNumberFormat="1" applyFont="1" applyFill="1" applyBorder="1" applyAlignment="1">
      <alignment horizontal="right" vertical="center"/>
    </xf>
    <xf numFmtId="2" fontId="9" fillId="0" borderId="4" xfId="0" applyNumberFormat="1" applyFont="1" applyBorder="1" applyAlignment="1">
      <alignment horizontal="right" vertical="center" wrapText="1"/>
    </xf>
    <xf numFmtId="2" fontId="9" fillId="5" borderId="2" xfId="0" applyNumberFormat="1" applyFont="1" applyFill="1" applyBorder="1" applyAlignment="1">
      <alignment horizontal="right" vertical="center" wrapText="1"/>
    </xf>
    <xf numFmtId="2" fontId="9" fillId="4" borderId="2" xfId="0" applyNumberFormat="1" applyFont="1" applyFill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right"/>
    </xf>
    <xf numFmtId="2" fontId="9" fillId="0" borderId="2" xfId="0" applyNumberFormat="1" applyFont="1" applyBorder="1"/>
    <xf numFmtId="0" fontId="9" fillId="0" borderId="2" xfId="7" applyFont="1" applyBorder="1" applyAlignment="1">
      <alignment vertical="top" wrapText="1"/>
    </xf>
    <xf numFmtId="0" fontId="3" fillId="0" borderId="2" xfId="7" applyBorder="1" applyAlignment="1">
      <alignment horizontal="right" vertical="center" wrapText="1"/>
    </xf>
    <xf numFmtId="2" fontId="3" fillId="0" borderId="2" xfId="7" applyNumberFormat="1" applyBorder="1" applyAlignment="1">
      <alignment horizontal="right" vertical="center" wrapText="1"/>
    </xf>
    <xf numFmtId="0" fontId="3" fillId="0" borderId="2" xfId="7" applyBorder="1"/>
    <xf numFmtId="0" fontId="9" fillId="0" borderId="2" xfId="7" applyFont="1" applyBorder="1"/>
    <xf numFmtId="0" fontId="11" fillId="0" borderId="2" xfId="7" applyFont="1" applyBorder="1" applyAlignment="1">
      <alignment vertical="top" wrapText="1"/>
    </xf>
    <xf numFmtId="2" fontId="3" fillId="0" borderId="2" xfId="7" applyNumberFormat="1" applyBorder="1"/>
    <xf numFmtId="0" fontId="9" fillId="0" borderId="4" xfId="7" applyFont="1" applyBorder="1" applyAlignment="1">
      <alignment vertical="top" wrapText="1"/>
    </xf>
    <xf numFmtId="0" fontId="3" fillId="0" borderId="4" xfId="7" applyBorder="1" applyAlignment="1">
      <alignment horizontal="right" vertical="center" wrapText="1"/>
    </xf>
    <xf numFmtId="2" fontId="3" fillId="0" borderId="4" xfId="7" applyNumberFormat="1" applyBorder="1" applyAlignment="1">
      <alignment horizontal="right" vertical="center" wrapText="1"/>
    </xf>
    <xf numFmtId="0" fontId="9" fillId="0" borderId="2" xfId="7" applyFont="1" applyBorder="1" applyAlignment="1">
      <alignment wrapText="1"/>
    </xf>
    <xf numFmtId="0" fontId="7" fillId="0" borderId="3" xfId="0" applyFont="1" applyBorder="1" applyAlignment="1">
      <alignment horizontal="center"/>
    </xf>
  </cellXfs>
  <cellStyles count="8">
    <cellStyle name="Koma" xfId="6" builtinId="3"/>
    <cellStyle name="Normaallaad" xfId="0" builtinId="0"/>
    <cellStyle name="Normal 2" xfId="3" xr:uid="{00000000-0005-0000-0000-000001000000}"/>
    <cellStyle name="Normal 2 2" xfId="7" xr:uid="{B48F3F0B-0788-45CC-BB3D-2F1E2A7A5EE6}"/>
    <cellStyle name="Normal 3" xfId="4" xr:uid="{A10FBC91-5F68-49FF-BAC2-2EB518906657}"/>
    <cellStyle name="Percent 2" xfId="5" xr:uid="{7EFDE839-63FA-4B26-A550-3EACCC8E9B80}"/>
    <cellStyle name="SAPBEXstdData" xfId="1" xr:uid="{00000000-0005-0000-0000-000002000000}"/>
    <cellStyle name="SAPBEXstdItem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2065806</xdr:colOff>
      <xdr:row>1</xdr:row>
      <xdr:rowOff>7471</xdr:rowOff>
    </xdr:from>
    <xdr:to>
      <xdr:col>7</xdr:col>
      <xdr:colOff>22413</xdr:colOff>
      <xdr:row>1</xdr:row>
      <xdr:rowOff>1232647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F6E1B5C-F776-4215-B1AC-89F3090C9BF0}"/>
            </a:ext>
            <a:ext uri="{147F2762-F138-4A5C-976F-8EAC2B608ADB}">
              <a16:predDERef xmlns:a16="http://schemas.microsoft.com/office/drawing/2014/main" pred="{9D9173C7-85E0-7EC4-2790-DA4CC5065E22}"/>
            </a:ext>
          </a:extLst>
        </xdr:cNvPr>
        <xdr:cNvSpPr txBox="1"/>
      </xdr:nvSpPr>
      <xdr:spPr>
        <a:xfrm>
          <a:off x="9663394" y="164353"/>
          <a:ext cx="4007784" cy="12251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t-E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Sotsiaalministri 19. jaanuari 2007. a määrus nr 9 "Tervisekassa poolt tasu maksmise kohustuse ülevõtmise kord"</a:t>
          </a:r>
        </a:p>
        <a:p>
          <a:pPr algn="r"/>
          <a:r>
            <a:rPr lang="et-E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Lisa 16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(muudetud sõnastuses)</a:t>
          </a:r>
        </a:p>
        <a:p>
          <a:pPr algn="r"/>
          <a:endParaRPr lang="et-E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304800</xdr:colOff>
      <xdr:row>1</xdr:row>
      <xdr:rowOff>304800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7499544A-4C4F-551A-8E22-90BDE27C16AB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15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304800</xdr:colOff>
      <xdr:row>1</xdr:row>
      <xdr:rowOff>304800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9D9173C7-85E0-7EC4-2790-DA4CC5065E22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15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1456765</xdr:colOff>
      <xdr:row>1</xdr:row>
      <xdr:rowOff>739994</xdr:rowOff>
    </xdr:from>
    <xdr:to>
      <xdr:col>2</xdr:col>
      <xdr:colOff>791882</xdr:colOff>
      <xdr:row>1</xdr:row>
      <xdr:rowOff>1161691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72A7E5-A306-8ACC-6709-92DC2222F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6765" y="896876"/>
          <a:ext cx="6932705" cy="421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10"/>
  <sheetViews>
    <sheetView tabSelected="1" zoomScale="85" zoomScaleNormal="85" workbookViewId="0">
      <selection activeCell="A14" sqref="A14"/>
    </sheetView>
  </sheetViews>
  <sheetFormatPr defaultColWidth="9.1796875" defaultRowHeight="11.5" x14ac:dyDescent="0.25"/>
  <cols>
    <col min="1" max="1" width="100.26953125" style="6" customWidth="1"/>
    <col min="2" max="2" width="8.453125" style="2" customWidth="1"/>
    <col min="3" max="3" width="47.81640625" style="2" customWidth="1"/>
    <col min="4" max="4" width="14.453125" style="3" customWidth="1"/>
    <col min="5" max="5" width="8.81640625" style="4" customWidth="1"/>
    <col min="6" max="7" width="8.54296875" style="4" bestFit="1" customWidth="1"/>
    <col min="8" max="8" width="10.81640625" style="2" bestFit="1" customWidth="1"/>
    <col min="9" max="16384" width="9.1796875" style="2"/>
  </cols>
  <sheetData>
    <row r="1" spans="1:10" ht="12.5" x14ac:dyDescent="0.25">
      <c r="A1" s="5"/>
      <c r="B1" s="1"/>
      <c r="C1" s="1"/>
      <c r="D1"/>
      <c r="E1"/>
      <c r="F1"/>
      <c r="G1"/>
    </row>
    <row r="2" spans="1:10" ht="98.15" customHeight="1" x14ac:dyDescent="0.3">
      <c r="A2" s="63"/>
      <c r="B2" s="63"/>
      <c r="C2" s="63"/>
      <c r="D2" s="7"/>
      <c r="E2" s="8"/>
      <c r="F2" s="8"/>
      <c r="G2" s="8"/>
      <c r="H2"/>
      <c r="J2" s="9"/>
    </row>
    <row r="3" spans="1:10" ht="46" x14ac:dyDescent="0.25">
      <c r="A3" s="11" t="s">
        <v>0</v>
      </c>
      <c r="B3" s="12" t="s">
        <v>1</v>
      </c>
      <c r="C3" s="13" t="s">
        <v>2</v>
      </c>
      <c r="D3" s="14" t="s">
        <v>3</v>
      </c>
      <c r="E3" s="15" t="s">
        <v>4</v>
      </c>
      <c r="F3" s="15" t="s">
        <v>5</v>
      </c>
      <c r="G3" s="15" t="s">
        <v>6</v>
      </c>
    </row>
    <row r="4" spans="1:10" x14ac:dyDescent="0.25">
      <c r="A4" s="16" t="s">
        <v>7</v>
      </c>
      <c r="B4" s="17" t="s">
        <v>8</v>
      </c>
      <c r="C4" s="18" t="s">
        <v>7</v>
      </c>
      <c r="D4" s="19">
        <v>1</v>
      </c>
      <c r="E4" s="20">
        <v>1</v>
      </c>
      <c r="F4" s="20">
        <v>1276.6400000000001</v>
      </c>
      <c r="G4" s="20">
        <v>1276.6400000000001</v>
      </c>
    </row>
    <row r="5" spans="1:10" x14ac:dyDescent="0.25">
      <c r="A5" s="16" t="s">
        <v>9</v>
      </c>
      <c r="B5" s="17" t="s">
        <v>10</v>
      </c>
      <c r="C5" s="18" t="s">
        <v>11</v>
      </c>
      <c r="D5" s="19">
        <v>1</v>
      </c>
      <c r="E5" s="20">
        <v>1</v>
      </c>
      <c r="F5" s="20">
        <v>59.95</v>
      </c>
      <c r="G5" s="20">
        <v>59.95</v>
      </c>
    </row>
    <row r="6" spans="1:10" x14ac:dyDescent="0.25">
      <c r="A6" s="16" t="s">
        <v>12</v>
      </c>
      <c r="B6" s="17" t="s">
        <v>13</v>
      </c>
      <c r="C6" s="18" t="s">
        <v>12</v>
      </c>
      <c r="D6" s="19">
        <v>1</v>
      </c>
      <c r="E6" s="20">
        <v>1</v>
      </c>
      <c r="F6" s="20">
        <v>285</v>
      </c>
      <c r="G6" s="20">
        <v>285</v>
      </c>
    </row>
    <row r="7" spans="1:10" ht="23" x14ac:dyDescent="0.25">
      <c r="A7" s="21" t="s">
        <v>14</v>
      </c>
      <c r="B7" s="22" t="s">
        <v>15</v>
      </c>
      <c r="C7" s="23" t="s">
        <v>14</v>
      </c>
      <c r="D7" s="19">
        <v>1</v>
      </c>
      <c r="E7" s="20">
        <v>1</v>
      </c>
      <c r="F7" s="20">
        <v>1876.8</v>
      </c>
      <c r="G7" s="20">
        <v>1876.8</v>
      </c>
    </row>
    <row r="8" spans="1:10" x14ac:dyDescent="0.25">
      <c r="A8" s="21" t="s">
        <v>16</v>
      </c>
      <c r="B8" s="22" t="s">
        <v>17</v>
      </c>
      <c r="C8" s="21" t="s">
        <v>16</v>
      </c>
      <c r="D8" s="19">
        <v>1</v>
      </c>
      <c r="E8" s="20">
        <v>1</v>
      </c>
      <c r="F8" s="20">
        <v>9711.2000000000007</v>
      </c>
      <c r="G8" s="20">
        <v>9711.2000000000007</v>
      </c>
    </row>
    <row r="9" spans="1:10" x14ac:dyDescent="0.25">
      <c r="A9" s="24" t="s">
        <v>18</v>
      </c>
      <c r="B9" s="25" t="s">
        <v>19</v>
      </c>
      <c r="C9" s="24" t="s">
        <v>20</v>
      </c>
      <c r="D9" s="26">
        <v>1</v>
      </c>
      <c r="E9" s="27">
        <v>1</v>
      </c>
      <c r="F9" s="27">
        <v>7313.9</v>
      </c>
      <c r="G9" s="27">
        <v>7427.36</v>
      </c>
    </row>
    <row r="10" spans="1:10" x14ac:dyDescent="0.25">
      <c r="A10" s="24" t="s">
        <v>18</v>
      </c>
      <c r="B10" s="25" t="s">
        <v>19</v>
      </c>
      <c r="C10" s="24" t="s">
        <v>21</v>
      </c>
      <c r="D10" s="26">
        <v>1</v>
      </c>
      <c r="E10" s="27">
        <v>1</v>
      </c>
      <c r="F10" s="27">
        <v>113.46</v>
      </c>
      <c r="G10" s="27"/>
    </row>
    <row r="11" spans="1:10" x14ac:dyDescent="0.25">
      <c r="A11" s="16" t="s">
        <v>22</v>
      </c>
      <c r="B11" s="17" t="s">
        <v>23</v>
      </c>
      <c r="C11" s="18" t="s">
        <v>24</v>
      </c>
      <c r="D11" s="19">
        <v>1</v>
      </c>
      <c r="E11" s="20">
        <v>0.25</v>
      </c>
      <c r="F11" s="20">
        <v>679</v>
      </c>
      <c r="G11" s="20">
        <v>601.15</v>
      </c>
    </row>
    <row r="12" spans="1:10" x14ac:dyDescent="0.25">
      <c r="A12" s="16" t="str">
        <f t="shared" ref="A12:B12" si="0">A11</f>
        <v>Lülisamba distarktor</v>
      </c>
      <c r="B12" s="17" t="str">
        <f t="shared" si="0"/>
        <v>2601L</v>
      </c>
      <c r="C12" s="18" t="s">
        <v>25</v>
      </c>
      <c r="D12" s="19">
        <v>1</v>
      </c>
      <c r="E12" s="20">
        <v>0.75</v>
      </c>
      <c r="F12" s="20">
        <v>575.20000000000005</v>
      </c>
      <c r="G12" s="20"/>
    </row>
    <row r="13" spans="1:10" ht="23" x14ac:dyDescent="0.25">
      <c r="A13" s="16" t="s">
        <v>26</v>
      </c>
      <c r="B13" s="17" t="s">
        <v>27</v>
      </c>
      <c r="C13" s="18" t="s">
        <v>28</v>
      </c>
      <c r="D13" s="19">
        <v>1</v>
      </c>
      <c r="E13" s="20">
        <v>0.47</v>
      </c>
      <c r="F13" s="20">
        <v>2037.12</v>
      </c>
      <c r="G13" s="20">
        <v>1973.35</v>
      </c>
    </row>
    <row r="14" spans="1:10" ht="23" x14ac:dyDescent="0.25">
      <c r="A14" s="16" t="str">
        <f t="shared" ref="A14:B15" si="1">A13</f>
        <v>Transpedikulaarsete kruvide ja vastava konstruktsiooniga süsteem lülisamba fikseerimiseks</v>
      </c>
      <c r="B14" s="17" t="str">
        <f t="shared" si="1"/>
        <v>2638L</v>
      </c>
      <c r="C14" s="18" t="s">
        <v>29</v>
      </c>
      <c r="D14" s="19">
        <v>1</v>
      </c>
      <c r="E14" s="20">
        <v>0.34</v>
      </c>
      <c r="F14" s="20">
        <v>2202.1999999999998</v>
      </c>
      <c r="G14" s="20"/>
    </row>
    <row r="15" spans="1:10" ht="23" x14ac:dyDescent="0.25">
      <c r="A15" s="16" t="str">
        <f t="shared" si="1"/>
        <v>Transpedikulaarsete kruvide ja vastava konstruktsiooniga süsteem lülisamba fikseerimiseks</v>
      </c>
      <c r="B15" s="17" t="str">
        <f t="shared" si="1"/>
        <v>2638L</v>
      </c>
      <c r="C15" s="18" t="s">
        <v>30</v>
      </c>
      <c r="D15" s="19">
        <v>1</v>
      </c>
      <c r="E15" s="20">
        <v>0.19</v>
      </c>
      <c r="F15" s="20">
        <v>1406.06</v>
      </c>
      <c r="G15" s="20"/>
    </row>
    <row r="16" spans="1:10" ht="23" x14ac:dyDescent="0.25">
      <c r="A16" s="16" t="s">
        <v>31</v>
      </c>
      <c r="B16" s="17" t="s">
        <v>32</v>
      </c>
      <c r="C16" s="18" t="s">
        <v>31</v>
      </c>
      <c r="D16" s="19">
        <v>1</v>
      </c>
      <c r="E16" s="20">
        <v>1</v>
      </c>
      <c r="F16" s="20">
        <v>9878.7000000000007</v>
      </c>
      <c r="G16" s="20">
        <v>9878.7000000000007</v>
      </c>
    </row>
    <row r="17" spans="1:7" ht="34.5" x14ac:dyDescent="0.25">
      <c r="A17" s="16" t="s">
        <v>33</v>
      </c>
      <c r="B17" s="17" t="s">
        <v>34</v>
      </c>
      <c r="C17" s="18" t="s">
        <v>33</v>
      </c>
      <c r="D17" s="19">
        <v>1</v>
      </c>
      <c r="E17" s="20">
        <v>0.92105263157894735</v>
      </c>
      <c r="F17" s="20">
        <v>4220.92</v>
      </c>
      <c r="G17" s="20">
        <v>4175.29</v>
      </c>
    </row>
    <row r="18" spans="1:7" x14ac:dyDescent="0.25">
      <c r="A18" s="16" t="str">
        <f t="shared" ref="A18:B18" si="2">A17</f>
        <v>Transpedikulaarsete ja sakraalsete kruvidega ning vastava konstruktsiooniga komplekt komplitseeritud deformiteetide, murdude ja kasvajate raviks</v>
      </c>
      <c r="B18" s="17" t="str">
        <f t="shared" si="2"/>
        <v>2605L</v>
      </c>
      <c r="C18" s="18" t="s">
        <v>35</v>
      </c>
      <c r="D18" s="19">
        <v>1</v>
      </c>
      <c r="E18" s="20">
        <v>7.8947368421052627E-2</v>
      </c>
      <c r="F18" s="20">
        <v>3642.96</v>
      </c>
      <c r="G18" s="20"/>
    </row>
    <row r="19" spans="1:7" ht="34.5" x14ac:dyDescent="0.25">
      <c r="A19" s="16" t="s">
        <v>36</v>
      </c>
      <c r="B19" s="17" t="s">
        <v>37</v>
      </c>
      <c r="C19" s="18" t="s">
        <v>38</v>
      </c>
      <c r="D19" s="19">
        <v>1</v>
      </c>
      <c r="E19" s="20">
        <v>0.8</v>
      </c>
      <c r="F19" s="20">
        <v>3124.58</v>
      </c>
      <c r="G19" s="20">
        <v>3010.96</v>
      </c>
    </row>
    <row r="20" spans="1:7" x14ac:dyDescent="0.25">
      <c r="A20" s="16" t="str">
        <f t="shared" ref="A20:B20" si="3">A19</f>
        <v>Transpedikulaarsete kruvide ja vastava konstruktsiooniga komplekt  lülisambamurdude, kasvajate ja -deformatsioonide raviks, lülikeha asendusimplantaat</v>
      </c>
      <c r="B20" s="17" t="str">
        <f t="shared" si="3"/>
        <v>2606L</v>
      </c>
      <c r="C20" s="18" t="s">
        <v>39</v>
      </c>
      <c r="D20" s="19">
        <v>1</v>
      </c>
      <c r="E20" s="20">
        <v>0.2</v>
      </c>
      <c r="F20" s="20">
        <v>2556.4699999999998</v>
      </c>
      <c r="G20" s="20"/>
    </row>
    <row r="21" spans="1:7" x14ac:dyDescent="0.25">
      <c r="A21" s="16" t="s">
        <v>40</v>
      </c>
      <c r="B21" s="17" t="s">
        <v>41</v>
      </c>
      <c r="C21" s="18" t="s">
        <v>40</v>
      </c>
      <c r="D21" s="19">
        <v>1</v>
      </c>
      <c r="E21" s="20">
        <v>1</v>
      </c>
      <c r="F21" s="20">
        <v>367.04</v>
      </c>
      <c r="G21" s="20">
        <v>367.04</v>
      </c>
    </row>
    <row r="22" spans="1:7" x14ac:dyDescent="0.25">
      <c r="A22" s="16" t="s">
        <v>42</v>
      </c>
      <c r="B22" s="17" t="s">
        <v>43</v>
      </c>
      <c r="C22" s="18" t="s">
        <v>44</v>
      </c>
      <c r="D22" s="19">
        <v>1</v>
      </c>
      <c r="E22" s="20">
        <v>1</v>
      </c>
      <c r="F22" s="20">
        <v>284.41000000000003</v>
      </c>
      <c r="G22" s="20">
        <v>284.41000000000003</v>
      </c>
    </row>
    <row r="23" spans="1:7" x14ac:dyDescent="0.25">
      <c r="A23" s="16" t="s">
        <v>45</v>
      </c>
      <c r="B23" s="17" t="s">
        <v>46</v>
      </c>
      <c r="C23" s="18" t="s">
        <v>47</v>
      </c>
      <c r="D23" s="19">
        <v>1</v>
      </c>
      <c r="E23" s="20">
        <v>0.2818181818181818</v>
      </c>
      <c r="F23" s="20">
        <v>110.12</v>
      </c>
      <c r="G23" s="20">
        <v>77.16</v>
      </c>
    </row>
    <row r="24" spans="1:7" ht="24.75" customHeight="1" x14ac:dyDescent="0.25">
      <c r="A24" s="16" t="str">
        <f t="shared" ref="A24:B24" si="4">A23</f>
        <v>Intramedullaarne väike nael (kuni 5mm)</v>
      </c>
      <c r="B24" s="17" t="str">
        <f t="shared" si="4"/>
        <v>2621L</v>
      </c>
      <c r="C24" s="18" t="s">
        <v>48</v>
      </c>
      <c r="D24" s="19">
        <v>1</v>
      </c>
      <c r="E24" s="20">
        <v>0.71818181818181814</v>
      </c>
      <c r="F24" s="20">
        <v>64.23</v>
      </c>
      <c r="G24" s="20"/>
    </row>
    <row r="25" spans="1:7" x14ac:dyDescent="0.25">
      <c r="A25" s="16" t="s">
        <v>49</v>
      </c>
      <c r="B25" s="17" t="s">
        <v>50</v>
      </c>
      <c r="C25" s="18" t="s">
        <v>49</v>
      </c>
      <c r="D25" s="19">
        <v>1</v>
      </c>
      <c r="E25" s="20">
        <v>1</v>
      </c>
      <c r="F25" s="20">
        <v>2264.96</v>
      </c>
      <c r="G25" s="20">
        <v>2264.96</v>
      </c>
    </row>
    <row r="26" spans="1:7" x14ac:dyDescent="0.25">
      <c r="A26" s="16" t="s">
        <v>51</v>
      </c>
      <c r="B26" s="17" t="s">
        <v>52</v>
      </c>
      <c r="C26" s="18" t="s">
        <v>51</v>
      </c>
      <c r="D26" s="19">
        <v>1</v>
      </c>
      <c r="E26" s="20">
        <v>1</v>
      </c>
      <c r="F26" s="20">
        <v>1276.6400000000001</v>
      </c>
      <c r="G26" s="20">
        <v>1276.6400000000001</v>
      </c>
    </row>
    <row r="27" spans="1:7" x14ac:dyDescent="0.25">
      <c r="A27" s="16" t="s">
        <v>53</v>
      </c>
      <c r="B27" s="17" t="s">
        <v>54</v>
      </c>
      <c r="C27" s="18" t="s">
        <v>53</v>
      </c>
      <c r="D27" s="19">
        <v>1</v>
      </c>
      <c r="E27" s="20">
        <v>1</v>
      </c>
      <c r="F27" s="20">
        <v>2241.6999999999998</v>
      </c>
      <c r="G27" s="20">
        <v>2241.6999999999998</v>
      </c>
    </row>
    <row r="28" spans="1:7" x14ac:dyDescent="0.25">
      <c r="A28" s="16" t="s">
        <v>55</v>
      </c>
      <c r="B28" s="17" t="s">
        <v>56</v>
      </c>
      <c r="C28" s="18" t="s">
        <v>55</v>
      </c>
      <c r="D28" s="19">
        <v>1</v>
      </c>
      <c r="E28" s="20">
        <v>1</v>
      </c>
      <c r="F28" s="20">
        <v>1975.76</v>
      </c>
      <c r="G28" s="20">
        <v>1975.76</v>
      </c>
    </row>
    <row r="29" spans="1:7" x14ac:dyDescent="0.25">
      <c r="A29" s="16" t="s">
        <v>57</v>
      </c>
      <c r="B29" s="17" t="s">
        <v>58</v>
      </c>
      <c r="C29" s="18" t="s">
        <v>57</v>
      </c>
      <c r="D29" s="19">
        <v>1</v>
      </c>
      <c r="E29" s="20">
        <v>1</v>
      </c>
      <c r="F29" s="20">
        <v>1823.78</v>
      </c>
      <c r="G29" s="20">
        <v>1823.78</v>
      </c>
    </row>
    <row r="30" spans="1:7" x14ac:dyDescent="0.25">
      <c r="A30" s="16" t="s">
        <v>59</v>
      </c>
      <c r="B30" s="17" t="s">
        <v>60</v>
      </c>
      <c r="C30" s="18" t="s">
        <v>59</v>
      </c>
      <c r="D30" s="19">
        <v>1</v>
      </c>
      <c r="E30" s="20">
        <v>1</v>
      </c>
      <c r="F30" s="20">
        <v>2887.59</v>
      </c>
      <c r="G30" s="20">
        <v>2887.59</v>
      </c>
    </row>
    <row r="31" spans="1:7" ht="23" x14ac:dyDescent="0.25">
      <c r="A31" s="16" t="s">
        <v>61</v>
      </c>
      <c r="B31" s="17" t="s">
        <v>62</v>
      </c>
      <c r="C31" s="18" t="s">
        <v>63</v>
      </c>
      <c r="D31" s="19">
        <v>1</v>
      </c>
      <c r="E31" s="20">
        <v>0.5</v>
      </c>
      <c r="F31" s="20">
        <v>9118.85</v>
      </c>
      <c r="G31" s="20">
        <v>9118.85</v>
      </c>
    </row>
    <row r="32" spans="1:7" ht="23" x14ac:dyDescent="0.25">
      <c r="A32" s="16" t="str">
        <f t="shared" ref="A32:B32" si="5">A31</f>
        <v>Segmenti asendav puusaliigese ja põlveliigese protees luukoe suure kaoga seotud protsesside (kasvajad, luunekroos) korral</v>
      </c>
      <c r="B32" s="17" t="str">
        <f t="shared" si="5"/>
        <v>2656L</v>
      </c>
      <c r="C32" s="18" t="s">
        <v>64</v>
      </c>
      <c r="D32" s="19">
        <v>1</v>
      </c>
      <c r="E32" s="20">
        <v>0.5</v>
      </c>
      <c r="F32" s="20">
        <v>9118.85</v>
      </c>
      <c r="G32" s="20"/>
    </row>
    <row r="33" spans="1:23" ht="11.25" customHeight="1" x14ac:dyDescent="0.25">
      <c r="A33" s="16" t="s">
        <v>65</v>
      </c>
      <c r="B33" s="17" t="s">
        <v>66</v>
      </c>
      <c r="C33" s="18" t="s">
        <v>65</v>
      </c>
      <c r="D33" s="19">
        <v>1</v>
      </c>
      <c r="E33" s="20">
        <v>1</v>
      </c>
      <c r="F33" s="20">
        <v>2196.0700000000002</v>
      </c>
      <c r="G33" s="20">
        <v>2196.0700000000002</v>
      </c>
    </row>
    <row r="34" spans="1:23" x14ac:dyDescent="0.25">
      <c r="A34" s="16" t="s">
        <v>67</v>
      </c>
      <c r="B34" s="17" t="s">
        <v>68</v>
      </c>
      <c r="C34" s="18" t="s">
        <v>67</v>
      </c>
      <c r="D34" s="19">
        <v>1</v>
      </c>
      <c r="E34" s="20">
        <v>1</v>
      </c>
      <c r="F34" s="20">
        <v>266</v>
      </c>
      <c r="G34" s="20">
        <v>266</v>
      </c>
    </row>
    <row r="35" spans="1:23" s="1" customFormat="1" x14ac:dyDescent="0.25">
      <c r="A35" s="16" t="s">
        <v>69</v>
      </c>
      <c r="B35" s="17" t="s">
        <v>70</v>
      </c>
      <c r="C35" s="18" t="s">
        <v>69</v>
      </c>
      <c r="D35" s="19">
        <v>1</v>
      </c>
      <c r="E35" s="20">
        <v>1</v>
      </c>
      <c r="F35" s="20">
        <v>715.24</v>
      </c>
      <c r="G35" s="20">
        <v>715.24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x14ac:dyDescent="0.25">
      <c r="A36" s="28" t="s">
        <v>71</v>
      </c>
      <c r="B36" s="29" t="s">
        <v>72</v>
      </c>
      <c r="C36" s="30" t="s">
        <v>71</v>
      </c>
      <c r="D36" s="26">
        <v>1</v>
      </c>
      <c r="E36" s="27">
        <v>0.2</v>
      </c>
      <c r="F36" s="27">
        <f>170*1.2</f>
        <v>204</v>
      </c>
      <c r="G36" s="27">
        <f>E36*F36+E37*F37+E38*F38+E39*F39+E40*F40</f>
        <v>216.00000000000003</v>
      </c>
    </row>
    <row r="37" spans="1:23" x14ac:dyDescent="0.25">
      <c r="A37" s="28" t="str">
        <f t="shared" ref="A37:B40" si="6">A36</f>
        <v xml:space="preserve">Klips ajuveresoonte haiguste operatsioonil </v>
      </c>
      <c r="B37" s="29" t="str">
        <f t="shared" si="6"/>
        <v>2701L</v>
      </c>
      <c r="C37" s="30" t="s">
        <v>71</v>
      </c>
      <c r="D37" s="26">
        <v>1</v>
      </c>
      <c r="E37" s="27">
        <v>0.2</v>
      </c>
      <c r="F37" s="27">
        <f>189*1.2</f>
        <v>226.79999999999998</v>
      </c>
      <c r="G37" s="27"/>
    </row>
    <row r="38" spans="1:23" x14ac:dyDescent="0.25">
      <c r="A38" s="28" t="str">
        <f t="shared" si="6"/>
        <v xml:space="preserve">Klips ajuveresoonte haiguste operatsioonil </v>
      </c>
      <c r="B38" s="29" t="str">
        <f t="shared" si="6"/>
        <v>2701L</v>
      </c>
      <c r="C38" s="30" t="s">
        <v>71</v>
      </c>
      <c r="D38" s="26">
        <v>1</v>
      </c>
      <c r="E38" s="27">
        <v>0.2</v>
      </c>
      <c r="F38" s="27">
        <f>145*1.2</f>
        <v>174</v>
      </c>
      <c r="G38" s="27"/>
    </row>
    <row r="39" spans="1:23" x14ac:dyDescent="0.25">
      <c r="A39" s="28" t="str">
        <f t="shared" si="6"/>
        <v xml:space="preserve">Klips ajuveresoonte haiguste operatsioonil </v>
      </c>
      <c r="B39" s="29" t="str">
        <f t="shared" si="6"/>
        <v>2701L</v>
      </c>
      <c r="C39" s="30" t="s">
        <v>71</v>
      </c>
      <c r="D39" s="26">
        <v>1</v>
      </c>
      <c r="E39" s="27">
        <v>0.2</v>
      </c>
      <c r="F39" s="27">
        <f>201*1.2</f>
        <v>241.2</v>
      </c>
      <c r="G39" s="27"/>
    </row>
    <row r="40" spans="1:23" x14ac:dyDescent="0.25">
      <c r="A40" s="28" t="str">
        <f t="shared" si="6"/>
        <v xml:space="preserve">Klips ajuveresoonte haiguste operatsioonil </v>
      </c>
      <c r="B40" s="29" t="str">
        <f t="shared" si="6"/>
        <v>2701L</v>
      </c>
      <c r="C40" s="30" t="s">
        <v>71</v>
      </c>
      <c r="D40" s="26">
        <v>1</v>
      </c>
      <c r="E40" s="27">
        <v>0.2</v>
      </c>
      <c r="F40" s="27">
        <f>195*1.2</f>
        <v>234</v>
      </c>
      <c r="G40" s="27"/>
    </row>
    <row r="41" spans="1:23" x14ac:dyDescent="0.25">
      <c r="A41" s="28" t="s">
        <v>73</v>
      </c>
      <c r="B41" s="29" t="s">
        <v>74</v>
      </c>
      <c r="C41" s="30" t="s">
        <v>75</v>
      </c>
      <c r="D41" s="26">
        <v>1</v>
      </c>
      <c r="E41" s="27">
        <v>1</v>
      </c>
      <c r="F41" s="27">
        <f>1734*1.09</f>
        <v>1890.0600000000002</v>
      </c>
      <c r="G41" s="27">
        <f>SUM(F41:F43)</f>
        <v>2253.0300000000002</v>
      </c>
    </row>
    <row r="42" spans="1:23" x14ac:dyDescent="0.25">
      <c r="A42" s="28" t="str">
        <f t="shared" ref="A42:B43" si="7">A41</f>
        <v>Ajuvatsakeste šunteerimise komplekt (reguleeritava klapiga)</v>
      </c>
      <c r="B42" s="29" t="str">
        <f t="shared" si="7"/>
        <v>2702L</v>
      </c>
      <c r="C42" s="30" t="s">
        <v>76</v>
      </c>
      <c r="D42" s="26">
        <v>1</v>
      </c>
      <c r="E42" s="27">
        <v>1</v>
      </c>
      <c r="F42" s="27">
        <f>205*1.09</f>
        <v>223.45000000000002</v>
      </c>
      <c r="G42" s="27"/>
    </row>
    <row r="43" spans="1:23" x14ac:dyDescent="0.25">
      <c r="A43" s="28" t="str">
        <f t="shared" si="7"/>
        <v>Ajuvatsakeste šunteerimise komplekt (reguleeritava klapiga)</v>
      </c>
      <c r="B43" s="29" t="str">
        <f t="shared" si="7"/>
        <v>2702L</v>
      </c>
      <c r="C43" s="30" t="s">
        <v>77</v>
      </c>
      <c r="D43" s="26">
        <v>1</v>
      </c>
      <c r="E43" s="27">
        <v>1</v>
      </c>
      <c r="F43" s="27">
        <f>128*1.09</f>
        <v>139.52000000000001</v>
      </c>
      <c r="G43" s="27"/>
    </row>
    <row r="44" spans="1:23" x14ac:dyDescent="0.25">
      <c r="A44" s="28" t="s">
        <v>78</v>
      </c>
      <c r="B44" s="29" t="s">
        <v>79</v>
      </c>
      <c r="C44" s="30" t="s">
        <v>78</v>
      </c>
      <c r="D44" s="26">
        <v>1</v>
      </c>
      <c r="E44" s="27">
        <v>1</v>
      </c>
      <c r="F44" s="27">
        <f>265.4*1.2</f>
        <v>318.47999999999996</v>
      </c>
      <c r="G44" s="27">
        <f>F44</f>
        <v>318.47999999999996</v>
      </c>
    </row>
    <row r="45" spans="1:23" x14ac:dyDescent="0.25">
      <c r="A45" s="28" t="s">
        <v>80</v>
      </c>
      <c r="B45" s="29" t="s">
        <v>81</v>
      </c>
      <c r="C45" s="30" t="s">
        <v>80</v>
      </c>
      <c r="D45" s="26">
        <v>1</v>
      </c>
      <c r="E45" s="27">
        <v>1</v>
      </c>
      <c r="F45" s="27">
        <f>440.99*1.09</f>
        <v>480.67910000000006</v>
      </c>
      <c r="G45" s="27">
        <f>F45</f>
        <v>480.67910000000006</v>
      </c>
    </row>
    <row r="46" spans="1:23" x14ac:dyDescent="0.25">
      <c r="A46" s="28" t="s">
        <v>82</v>
      </c>
      <c r="B46" s="29" t="s">
        <v>83</v>
      </c>
      <c r="C46" s="30" t="s">
        <v>82</v>
      </c>
      <c r="D46" s="26">
        <v>1</v>
      </c>
      <c r="E46" s="27">
        <v>1</v>
      </c>
      <c r="F46" s="27">
        <f>364.3*1.09</f>
        <v>397.08700000000005</v>
      </c>
      <c r="G46" s="27">
        <f>F46</f>
        <v>397.08700000000005</v>
      </c>
    </row>
    <row r="47" spans="1:23" x14ac:dyDescent="0.25">
      <c r="A47" s="28" t="s">
        <v>84</v>
      </c>
      <c r="B47" s="29" t="s">
        <v>85</v>
      </c>
      <c r="C47" s="30" t="s">
        <v>84</v>
      </c>
      <c r="D47" s="26">
        <v>1</v>
      </c>
      <c r="E47" s="27">
        <v>1</v>
      </c>
      <c r="F47" s="27">
        <f>75*1.2</f>
        <v>90</v>
      </c>
      <c r="G47" s="27">
        <f>F47</f>
        <v>90</v>
      </c>
    </row>
    <row r="48" spans="1:23" ht="23" x14ac:dyDescent="0.25">
      <c r="A48" s="28" t="s">
        <v>86</v>
      </c>
      <c r="B48" s="29" t="s">
        <v>87</v>
      </c>
      <c r="C48" s="30" t="s">
        <v>86</v>
      </c>
      <c r="D48" s="26">
        <v>1</v>
      </c>
      <c r="E48" s="27">
        <v>1</v>
      </c>
      <c r="F48" s="27">
        <f>127.82*1.09</f>
        <v>139.32380000000001</v>
      </c>
      <c r="G48" s="27">
        <f>F48</f>
        <v>139.32380000000001</v>
      </c>
    </row>
    <row r="49" spans="1:7" x14ac:dyDescent="0.25">
      <c r="A49" s="28" t="s">
        <v>88</v>
      </c>
      <c r="B49" s="29" t="s">
        <v>89</v>
      </c>
      <c r="C49" s="30" t="s">
        <v>90</v>
      </c>
      <c r="D49" s="26">
        <v>6</v>
      </c>
      <c r="E49" s="27">
        <v>1</v>
      </c>
      <c r="F49" s="27">
        <f>59.02*1.09</f>
        <v>64.331800000000001</v>
      </c>
      <c r="G49" s="27">
        <f>D49*F49+D50*F50+D51*F51</f>
        <v>600.29570000000001</v>
      </c>
    </row>
    <row r="50" spans="1:7" x14ac:dyDescent="0.25">
      <c r="A50" s="28" t="str">
        <f t="shared" ref="A50:B51" si="8">A49</f>
        <v>Kaela eesmise spondülodeesi vahendid</v>
      </c>
      <c r="B50" s="29" t="str">
        <f t="shared" si="8"/>
        <v>2721L</v>
      </c>
      <c r="C50" s="30" t="s">
        <v>91</v>
      </c>
      <c r="D50" s="26">
        <v>1</v>
      </c>
      <c r="E50" s="27">
        <v>1</v>
      </c>
      <c r="F50" s="27">
        <f>123.35*1.09</f>
        <v>134.45150000000001</v>
      </c>
      <c r="G50" s="27"/>
    </row>
    <row r="51" spans="1:7" x14ac:dyDescent="0.25">
      <c r="A51" s="28" t="str">
        <f t="shared" si="8"/>
        <v>Kaela eesmise spondülodeesi vahendid</v>
      </c>
      <c r="B51" s="29" t="str">
        <f t="shared" si="8"/>
        <v>2721L</v>
      </c>
      <c r="C51" s="30" t="s">
        <v>92</v>
      </c>
      <c r="D51" s="26">
        <v>6</v>
      </c>
      <c r="E51" s="27">
        <v>1</v>
      </c>
      <c r="F51" s="27">
        <f>12.21*1.09</f>
        <v>13.308900000000001</v>
      </c>
      <c r="G51" s="27"/>
    </row>
    <row r="52" spans="1:7" x14ac:dyDescent="0.25">
      <c r="A52" s="28" t="s">
        <v>93</v>
      </c>
      <c r="B52" s="29" t="s">
        <v>94</v>
      </c>
      <c r="C52" s="30" t="s">
        <v>93</v>
      </c>
      <c r="D52" s="26">
        <v>1</v>
      </c>
      <c r="E52" s="27">
        <v>1</v>
      </c>
      <c r="F52" s="27">
        <f>296*1.09</f>
        <v>322.64000000000004</v>
      </c>
      <c r="G52" s="27">
        <f>F52</f>
        <v>322.64000000000004</v>
      </c>
    </row>
    <row r="53" spans="1:7" x14ac:dyDescent="0.25">
      <c r="A53" s="28" t="s">
        <v>95</v>
      </c>
      <c r="B53" s="29" t="s">
        <v>96</v>
      </c>
      <c r="C53" s="30" t="s">
        <v>95</v>
      </c>
      <c r="D53" s="26">
        <v>1</v>
      </c>
      <c r="E53" s="27">
        <v>1</v>
      </c>
      <c r="F53" s="27">
        <f>603*1.2</f>
        <v>723.6</v>
      </c>
      <c r="G53" s="27">
        <f>F53</f>
        <v>723.6</v>
      </c>
    </row>
    <row r="54" spans="1:7" x14ac:dyDescent="0.25">
      <c r="A54" s="28" t="s">
        <v>97</v>
      </c>
      <c r="B54" s="29" t="s">
        <v>98</v>
      </c>
      <c r="C54" s="30" t="s">
        <v>97</v>
      </c>
      <c r="D54" s="26">
        <v>1</v>
      </c>
      <c r="E54" s="27">
        <v>1</v>
      </c>
      <c r="F54" s="27">
        <f>674.56*1.2</f>
        <v>809.47199999999987</v>
      </c>
      <c r="G54" s="27">
        <f>F54</f>
        <v>809.47199999999987</v>
      </c>
    </row>
    <row r="55" spans="1:7" x14ac:dyDescent="0.25">
      <c r="A55" s="16" t="s">
        <v>99</v>
      </c>
      <c r="B55" s="17" t="s">
        <v>100</v>
      </c>
      <c r="C55" s="18" t="s">
        <v>101</v>
      </c>
      <c r="D55" s="19">
        <v>1</v>
      </c>
      <c r="E55" s="20">
        <v>0.73</v>
      </c>
      <c r="F55" s="20">
        <v>46.85</v>
      </c>
      <c r="G55" s="20">
        <v>48.76</v>
      </c>
    </row>
    <row r="56" spans="1:7" x14ac:dyDescent="0.25">
      <c r="A56" s="16" t="str">
        <f t="shared" ref="A56:B56" si="9">A55</f>
        <v>Mitteresorbeeruv proteesvõrk (kuni 15x15 cm)</v>
      </c>
      <c r="B56" s="17" t="str">
        <f t="shared" si="9"/>
        <v>2765L</v>
      </c>
      <c r="C56" s="18" t="s">
        <v>102</v>
      </c>
      <c r="D56" s="19">
        <v>1</v>
      </c>
      <c r="E56" s="20">
        <v>0.27</v>
      </c>
      <c r="F56" s="20">
        <v>53.94</v>
      </c>
      <c r="G56" s="20"/>
    </row>
    <row r="57" spans="1:7" ht="23" x14ac:dyDescent="0.25">
      <c r="A57" s="16" t="s">
        <v>103</v>
      </c>
      <c r="B57" s="17" t="s">
        <v>104</v>
      </c>
      <c r="C57" s="18" t="s">
        <v>105</v>
      </c>
      <c r="D57" s="19">
        <v>1</v>
      </c>
      <c r="E57" s="20">
        <v>1</v>
      </c>
      <c r="F57" s="20">
        <v>414.08</v>
      </c>
      <c r="G57" s="20">
        <v>414.08</v>
      </c>
    </row>
    <row r="58" spans="1:7" x14ac:dyDescent="0.25">
      <c r="A58" s="16" t="s">
        <v>106</v>
      </c>
      <c r="B58" s="17" t="s">
        <v>107</v>
      </c>
      <c r="C58" s="18" t="s">
        <v>108</v>
      </c>
      <c r="D58" s="19">
        <v>1</v>
      </c>
      <c r="E58" s="20">
        <v>1</v>
      </c>
      <c r="F58" s="20">
        <v>699.13</v>
      </c>
      <c r="G58" s="20">
        <v>699.13</v>
      </c>
    </row>
    <row r="59" spans="1:7" x14ac:dyDescent="0.25">
      <c r="A59" s="16" t="s">
        <v>109</v>
      </c>
      <c r="B59" s="17" t="s">
        <v>110</v>
      </c>
      <c r="C59" s="18" t="s">
        <v>109</v>
      </c>
      <c r="D59" s="19">
        <v>1</v>
      </c>
      <c r="E59" s="20">
        <v>1</v>
      </c>
      <c r="F59" s="20">
        <v>158.63</v>
      </c>
      <c r="G59" s="20">
        <v>158.63</v>
      </c>
    </row>
    <row r="60" spans="1:7" x14ac:dyDescent="0.25">
      <c r="A60" s="28" t="s">
        <v>111</v>
      </c>
      <c r="B60" s="29" t="s">
        <v>112</v>
      </c>
      <c r="C60" s="30" t="s">
        <v>113</v>
      </c>
      <c r="D60" s="26">
        <v>1</v>
      </c>
      <c r="E60" s="31">
        <v>0.25</v>
      </c>
      <c r="F60" s="31">
        <v>203.68</v>
      </c>
      <c r="G60" s="31">
        <v>203.68</v>
      </c>
    </row>
    <row r="61" spans="1:7" x14ac:dyDescent="0.25">
      <c r="A61" s="28" t="str">
        <f t="shared" ref="A61:B61" si="10">A60</f>
        <v>Lineaarstapler või lineaarstapler-lõikur</v>
      </c>
      <c r="B61" s="29" t="str">
        <f t="shared" si="10"/>
        <v>2766L</v>
      </c>
      <c r="C61" s="30" t="s">
        <v>114</v>
      </c>
      <c r="D61" s="26">
        <v>1</v>
      </c>
      <c r="E61" s="31">
        <v>0.75</v>
      </c>
      <c r="F61" s="31"/>
      <c r="G61" s="27"/>
    </row>
    <row r="62" spans="1:7" x14ac:dyDescent="0.25">
      <c r="A62" s="28" t="s">
        <v>115</v>
      </c>
      <c r="B62" s="29" t="s">
        <v>116</v>
      </c>
      <c r="C62" s="30" t="s">
        <v>115</v>
      </c>
      <c r="D62" s="26">
        <v>1</v>
      </c>
      <c r="E62" s="27">
        <v>1</v>
      </c>
      <c r="F62" s="27">
        <v>115.2</v>
      </c>
      <c r="G62" s="27">
        <v>107.52</v>
      </c>
    </row>
    <row r="63" spans="1:7" x14ac:dyDescent="0.25">
      <c r="A63" s="32" t="s">
        <v>117</v>
      </c>
      <c r="B63" s="17" t="s">
        <v>118</v>
      </c>
      <c r="C63" s="18" t="s">
        <v>117</v>
      </c>
      <c r="D63" s="19">
        <v>1</v>
      </c>
      <c r="E63" s="20">
        <v>1</v>
      </c>
      <c r="F63" s="31">
        <v>512.99</v>
      </c>
      <c r="G63" s="31">
        <v>512.99</v>
      </c>
    </row>
    <row r="64" spans="1:7" x14ac:dyDescent="0.25">
      <c r="A64" s="32" t="s">
        <v>119</v>
      </c>
      <c r="B64" s="17" t="s">
        <v>120</v>
      </c>
      <c r="C64" s="18" t="s">
        <v>121</v>
      </c>
      <c r="D64" s="19">
        <v>1</v>
      </c>
      <c r="E64" s="20">
        <v>1</v>
      </c>
      <c r="F64" s="20">
        <v>383.61</v>
      </c>
      <c r="G64" s="20">
        <v>383.61</v>
      </c>
    </row>
    <row r="65" spans="1:7" x14ac:dyDescent="0.25">
      <c r="A65" s="32" t="s">
        <v>122</v>
      </c>
      <c r="B65" s="17" t="s">
        <v>123</v>
      </c>
      <c r="C65" s="18" t="s">
        <v>124</v>
      </c>
      <c r="D65" s="19">
        <v>1</v>
      </c>
      <c r="E65" s="20">
        <v>1</v>
      </c>
      <c r="F65" s="31">
        <v>184.07</v>
      </c>
      <c r="G65" s="31">
        <v>184.07</v>
      </c>
    </row>
    <row r="66" spans="1:7" x14ac:dyDescent="0.25">
      <c r="A66" s="16" t="s">
        <v>125</v>
      </c>
      <c r="B66" s="17" t="s">
        <v>126</v>
      </c>
      <c r="C66" s="18" t="s">
        <v>125</v>
      </c>
      <c r="D66" s="19">
        <v>1</v>
      </c>
      <c r="E66" s="20">
        <v>1</v>
      </c>
      <c r="F66" s="20">
        <v>201.43</v>
      </c>
      <c r="G66" s="20">
        <f>F66</f>
        <v>201.43</v>
      </c>
    </row>
    <row r="67" spans="1:7" x14ac:dyDescent="0.25">
      <c r="A67" s="16" t="s">
        <v>127</v>
      </c>
      <c r="B67" s="17" t="s">
        <v>128</v>
      </c>
      <c r="C67" s="18" t="s">
        <v>127</v>
      </c>
      <c r="D67" s="19">
        <v>1</v>
      </c>
      <c r="E67" s="20">
        <v>1</v>
      </c>
      <c r="F67" s="20">
        <v>197.58</v>
      </c>
      <c r="G67" s="20">
        <f t="shared" ref="G67:G68" si="11">F67</f>
        <v>197.58</v>
      </c>
    </row>
    <row r="68" spans="1:7" x14ac:dyDescent="0.25">
      <c r="A68" s="32" t="s">
        <v>129</v>
      </c>
      <c r="B68" s="17" t="s">
        <v>130</v>
      </c>
      <c r="C68" s="18" t="s">
        <v>129</v>
      </c>
      <c r="D68" s="19">
        <v>1</v>
      </c>
      <c r="E68" s="20">
        <v>1</v>
      </c>
      <c r="F68" s="20">
        <v>764.21</v>
      </c>
      <c r="G68" s="20">
        <f t="shared" si="11"/>
        <v>764.21</v>
      </c>
    </row>
    <row r="69" spans="1:7" x14ac:dyDescent="0.25">
      <c r="A69" s="16" t="s">
        <v>131</v>
      </c>
      <c r="B69" s="17" t="s">
        <v>132</v>
      </c>
      <c r="C69" s="18" t="s">
        <v>131</v>
      </c>
      <c r="D69" s="19">
        <v>1</v>
      </c>
      <c r="E69" s="20">
        <v>0.67</v>
      </c>
      <c r="F69" s="27">
        <v>1224.32</v>
      </c>
      <c r="G69" s="27">
        <v>1224.32</v>
      </c>
    </row>
    <row r="70" spans="1:7" x14ac:dyDescent="0.25">
      <c r="A70" s="32" t="s">
        <v>133</v>
      </c>
      <c r="B70" s="17" t="s">
        <v>134</v>
      </c>
      <c r="C70" s="18" t="s">
        <v>135</v>
      </c>
      <c r="D70" s="19">
        <v>1</v>
      </c>
      <c r="E70" s="20">
        <v>1</v>
      </c>
      <c r="F70" s="20">
        <v>45.12</v>
      </c>
      <c r="G70" s="20">
        <f>F70</f>
        <v>45.12</v>
      </c>
    </row>
    <row r="71" spans="1:7" x14ac:dyDescent="0.25">
      <c r="A71" s="32" t="s">
        <v>136</v>
      </c>
      <c r="B71" s="17" t="s">
        <v>137</v>
      </c>
      <c r="C71" s="18" t="s">
        <v>138</v>
      </c>
      <c r="D71" s="19">
        <v>1</v>
      </c>
      <c r="E71" s="20">
        <v>1</v>
      </c>
      <c r="F71" s="20">
        <v>123.96</v>
      </c>
      <c r="G71" s="20">
        <f t="shared" ref="G71:G72" si="12">F71</f>
        <v>123.96</v>
      </c>
    </row>
    <row r="72" spans="1:7" x14ac:dyDescent="0.25">
      <c r="A72" s="32" t="s">
        <v>139</v>
      </c>
      <c r="B72" s="17" t="s">
        <v>140</v>
      </c>
      <c r="C72" s="18" t="s">
        <v>141</v>
      </c>
      <c r="D72" s="19">
        <v>1</v>
      </c>
      <c r="E72" s="20">
        <v>1</v>
      </c>
      <c r="F72" s="20">
        <v>964.2</v>
      </c>
      <c r="G72" s="20">
        <f t="shared" si="12"/>
        <v>964.2</v>
      </c>
    </row>
    <row r="73" spans="1:7" x14ac:dyDescent="0.25">
      <c r="A73" s="32" t="s">
        <v>142</v>
      </c>
      <c r="B73" s="17" t="s">
        <v>143</v>
      </c>
      <c r="C73" s="18" t="s">
        <v>142</v>
      </c>
      <c r="D73" s="19">
        <v>1</v>
      </c>
      <c r="E73" s="20">
        <v>1</v>
      </c>
      <c r="F73" s="20">
        <v>588.78</v>
      </c>
      <c r="G73" s="20">
        <v>588.78</v>
      </c>
    </row>
    <row r="74" spans="1:7" x14ac:dyDescent="0.25">
      <c r="A74" s="32" t="s">
        <v>144</v>
      </c>
      <c r="B74" s="17" t="s">
        <v>145</v>
      </c>
      <c r="C74" s="18" t="s">
        <v>146</v>
      </c>
      <c r="D74" s="19">
        <v>1</v>
      </c>
      <c r="E74" s="20">
        <v>1</v>
      </c>
      <c r="F74" s="20">
        <v>4500</v>
      </c>
      <c r="G74" s="20">
        <v>4500</v>
      </c>
    </row>
    <row r="75" spans="1:7" x14ac:dyDescent="0.25">
      <c r="A75" s="32" t="s">
        <v>147</v>
      </c>
      <c r="B75" s="17" t="s">
        <v>148</v>
      </c>
      <c r="C75" s="18" t="s">
        <v>147</v>
      </c>
      <c r="D75" s="19">
        <v>1</v>
      </c>
      <c r="E75" s="20">
        <v>1</v>
      </c>
      <c r="F75" s="20">
        <v>534.05999999999995</v>
      </c>
      <c r="G75" s="20">
        <f>F75</f>
        <v>534.05999999999995</v>
      </c>
    </row>
    <row r="76" spans="1:7" x14ac:dyDescent="0.25">
      <c r="A76" s="16" t="s">
        <v>149</v>
      </c>
      <c r="B76" s="17" t="s">
        <v>150</v>
      </c>
      <c r="C76" s="18" t="s">
        <v>149</v>
      </c>
      <c r="D76" s="19">
        <v>1</v>
      </c>
      <c r="E76" s="20">
        <v>1</v>
      </c>
      <c r="F76" s="20">
        <v>223.44</v>
      </c>
      <c r="G76" s="20">
        <v>223.44</v>
      </c>
    </row>
    <row r="77" spans="1:7" x14ac:dyDescent="0.25">
      <c r="A77" s="16" t="s">
        <v>151</v>
      </c>
      <c r="B77" s="17" t="s">
        <v>152</v>
      </c>
      <c r="C77" s="18" t="s">
        <v>151</v>
      </c>
      <c r="D77" s="19">
        <v>1</v>
      </c>
      <c r="E77" s="20">
        <v>1</v>
      </c>
      <c r="F77" s="20">
        <v>216.51</v>
      </c>
      <c r="G77" s="27">
        <v>216.51</v>
      </c>
    </row>
    <row r="78" spans="1:7" x14ac:dyDescent="0.25">
      <c r="A78" s="16" t="s">
        <v>153</v>
      </c>
      <c r="B78" s="17" t="s">
        <v>154</v>
      </c>
      <c r="C78" s="18" t="s">
        <v>153</v>
      </c>
      <c r="D78" s="19">
        <v>1</v>
      </c>
      <c r="E78" s="20">
        <v>1</v>
      </c>
      <c r="F78" s="20">
        <v>109.35</v>
      </c>
      <c r="G78" s="20">
        <v>109.35</v>
      </c>
    </row>
    <row r="79" spans="1:7" ht="12" x14ac:dyDescent="0.25">
      <c r="A79" s="33" t="s">
        <v>155</v>
      </c>
      <c r="B79" s="17" t="s">
        <v>156</v>
      </c>
      <c r="C79" s="34" t="s">
        <v>155</v>
      </c>
      <c r="D79" s="19">
        <v>1</v>
      </c>
      <c r="E79" s="20">
        <v>1</v>
      </c>
      <c r="F79" s="20">
        <v>319.17</v>
      </c>
      <c r="G79" s="20">
        <v>319.17</v>
      </c>
    </row>
    <row r="80" spans="1:7" x14ac:dyDescent="0.25">
      <c r="A80" s="16" t="s">
        <v>157</v>
      </c>
      <c r="B80" s="17" t="s">
        <v>158</v>
      </c>
      <c r="C80" s="18" t="s">
        <v>157</v>
      </c>
      <c r="D80" s="19">
        <v>1</v>
      </c>
      <c r="E80" s="20">
        <v>1</v>
      </c>
      <c r="F80" s="20">
        <v>337.07</v>
      </c>
      <c r="G80" s="20">
        <v>337.07</v>
      </c>
    </row>
    <row r="81" spans="1:7" x14ac:dyDescent="0.25">
      <c r="A81" s="16" t="s">
        <v>159</v>
      </c>
      <c r="B81" s="17" t="s">
        <v>160</v>
      </c>
      <c r="C81" s="18" t="s">
        <v>159</v>
      </c>
      <c r="D81" s="19">
        <v>1</v>
      </c>
      <c r="E81" s="20">
        <v>1</v>
      </c>
      <c r="F81" s="20">
        <v>473.65</v>
      </c>
      <c r="G81" s="20">
        <v>473.65</v>
      </c>
    </row>
    <row r="82" spans="1:7" x14ac:dyDescent="0.25">
      <c r="A82" s="16" t="s">
        <v>161</v>
      </c>
      <c r="B82" s="17" t="s">
        <v>162</v>
      </c>
      <c r="C82" s="18" t="s">
        <v>163</v>
      </c>
      <c r="D82" s="19">
        <v>1</v>
      </c>
      <c r="E82" s="20">
        <v>1</v>
      </c>
      <c r="F82" s="20">
        <v>66</v>
      </c>
      <c r="G82" s="20">
        <v>66</v>
      </c>
    </row>
    <row r="83" spans="1:7" x14ac:dyDescent="0.25">
      <c r="A83" s="16" t="s">
        <v>164</v>
      </c>
      <c r="B83" s="17" t="s">
        <v>165</v>
      </c>
      <c r="C83" s="18" t="s">
        <v>164</v>
      </c>
      <c r="D83" s="19">
        <v>1</v>
      </c>
      <c r="E83" s="20">
        <v>1</v>
      </c>
      <c r="F83" s="20">
        <v>54.5</v>
      </c>
      <c r="G83" s="20">
        <v>54.5</v>
      </c>
    </row>
    <row r="84" spans="1:7" x14ac:dyDescent="0.25">
      <c r="A84" s="16" t="s">
        <v>166</v>
      </c>
      <c r="B84" s="17" t="s">
        <v>167</v>
      </c>
      <c r="C84" s="18" t="s">
        <v>166</v>
      </c>
      <c r="D84" s="19">
        <v>1</v>
      </c>
      <c r="E84" s="20">
        <v>1</v>
      </c>
      <c r="F84" s="20">
        <v>195.6</v>
      </c>
      <c r="G84" s="20">
        <v>195.6</v>
      </c>
    </row>
    <row r="85" spans="1:7" x14ac:dyDescent="0.25">
      <c r="A85" s="16" t="str">
        <f t="shared" ref="A85:B92" si="13">A84</f>
        <v>Kollageenimplantaat</v>
      </c>
      <c r="B85" s="17" t="str">
        <f t="shared" si="13"/>
        <v>2875L</v>
      </c>
      <c r="C85" s="18" t="s">
        <v>168</v>
      </c>
      <c r="D85" s="19">
        <v>1</v>
      </c>
      <c r="E85" s="20">
        <v>0.3</v>
      </c>
      <c r="F85" s="20">
        <v>12.27</v>
      </c>
      <c r="G85" s="20"/>
    </row>
    <row r="86" spans="1:7" x14ac:dyDescent="0.25">
      <c r="A86" s="16" t="str">
        <f t="shared" si="13"/>
        <v>Kollageenimplantaat</v>
      </c>
      <c r="B86" s="17" t="str">
        <f t="shared" si="13"/>
        <v>2875L</v>
      </c>
      <c r="C86" s="18" t="s">
        <v>169</v>
      </c>
      <c r="D86" s="19">
        <v>1</v>
      </c>
      <c r="E86" s="20">
        <v>0.5</v>
      </c>
      <c r="F86" s="20">
        <v>58.8</v>
      </c>
      <c r="G86" s="20"/>
    </row>
    <row r="87" spans="1:7" x14ac:dyDescent="0.25">
      <c r="A87" s="16" t="str">
        <f t="shared" si="13"/>
        <v>Kollageenimplantaat</v>
      </c>
      <c r="B87" s="17" t="str">
        <f t="shared" si="13"/>
        <v>2875L</v>
      </c>
      <c r="C87" s="18" t="s">
        <v>170</v>
      </c>
      <c r="D87" s="19">
        <v>1</v>
      </c>
      <c r="E87" s="20">
        <v>1</v>
      </c>
      <c r="F87" s="20">
        <v>256.41000000000003</v>
      </c>
      <c r="G87" s="20"/>
    </row>
    <row r="88" spans="1:7" x14ac:dyDescent="0.25">
      <c r="A88" s="16" t="str">
        <f t="shared" si="13"/>
        <v>Kollageenimplantaat</v>
      </c>
      <c r="B88" s="17" t="str">
        <f t="shared" si="13"/>
        <v>2875L</v>
      </c>
      <c r="C88" s="18" t="s">
        <v>171</v>
      </c>
      <c r="D88" s="19">
        <v>1</v>
      </c>
      <c r="E88" s="20">
        <v>0.5</v>
      </c>
      <c r="F88" s="20">
        <v>250.28</v>
      </c>
      <c r="G88" s="20"/>
    </row>
    <row r="89" spans="1:7" x14ac:dyDescent="0.25">
      <c r="A89" s="16" t="str">
        <f t="shared" si="13"/>
        <v>Kollageenimplantaat</v>
      </c>
      <c r="B89" s="17" t="str">
        <f t="shared" si="13"/>
        <v>2875L</v>
      </c>
      <c r="C89" s="23" t="s">
        <v>172</v>
      </c>
      <c r="D89" s="19">
        <v>1</v>
      </c>
      <c r="E89" s="20">
        <v>0.5</v>
      </c>
      <c r="F89" s="20">
        <v>154.6</v>
      </c>
      <c r="G89" s="20"/>
    </row>
    <row r="90" spans="1:7" x14ac:dyDescent="0.25">
      <c r="A90" s="16" t="str">
        <f t="shared" si="13"/>
        <v>Kollageenimplantaat</v>
      </c>
      <c r="B90" s="17" t="str">
        <f t="shared" si="13"/>
        <v>2875L</v>
      </c>
      <c r="C90" s="23" t="s">
        <v>173</v>
      </c>
      <c r="D90" s="19">
        <v>1</v>
      </c>
      <c r="E90" s="20">
        <v>0.5</v>
      </c>
      <c r="F90" s="20">
        <v>67.11</v>
      </c>
      <c r="G90" s="20"/>
    </row>
    <row r="91" spans="1:7" x14ac:dyDescent="0.25">
      <c r="A91" s="16" t="str">
        <f t="shared" si="13"/>
        <v>Kollageenimplantaat</v>
      </c>
      <c r="B91" s="17" t="str">
        <f t="shared" si="13"/>
        <v>2875L</v>
      </c>
      <c r="C91" s="23" t="s">
        <v>174</v>
      </c>
      <c r="D91" s="19">
        <v>1</v>
      </c>
      <c r="E91" s="20">
        <v>0.5</v>
      </c>
      <c r="F91" s="20">
        <v>301.66000000000003</v>
      </c>
      <c r="G91" s="20"/>
    </row>
    <row r="92" spans="1:7" x14ac:dyDescent="0.25">
      <c r="A92" s="16" t="str">
        <f t="shared" si="13"/>
        <v>Kollageenimplantaat</v>
      </c>
      <c r="B92" s="17" t="str">
        <f t="shared" si="13"/>
        <v>2875L</v>
      </c>
      <c r="C92" s="23" t="s">
        <v>175</v>
      </c>
      <c r="D92" s="19">
        <v>1</v>
      </c>
      <c r="E92" s="20">
        <v>0.25</v>
      </c>
      <c r="F92" s="20">
        <v>422.33</v>
      </c>
      <c r="G92" s="20"/>
    </row>
    <row r="93" spans="1:7" x14ac:dyDescent="0.25">
      <c r="A93" s="16" t="s">
        <v>176</v>
      </c>
      <c r="B93" s="17" t="s">
        <v>177</v>
      </c>
      <c r="C93" s="23" t="s">
        <v>178</v>
      </c>
      <c r="D93" s="19">
        <v>3</v>
      </c>
      <c r="E93" s="20">
        <v>1</v>
      </c>
      <c r="F93" s="20">
        <v>31.52</v>
      </c>
      <c r="G93" s="20">
        <v>459.17</v>
      </c>
    </row>
    <row r="94" spans="1:7" x14ac:dyDescent="0.25">
      <c r="A94" s="16" t="str">
        <f t="shared" ref="A94:A103" si="14">A93</f>
        <v>Nefroskoopiline operatsioon (PCN) erivahendite komplekt</v>
      </c>
      <c r="B94" s="17" t="str">
        <f t="shared" ref="B94:B103" si="15">B93</f>
        <v>2911L</v>
      </c>
      <c r="C94" s="23" t="s">
        <v>179</v>
      </c>
      <c r="D94" s="19">
        <v>1</v>
      </c>
      <c r="E94" s="20">
        <v>1</v>
      </c>
      <c r="F94" s="20">
        <v>44.66</v>
      </c>
      <c r="G94" s="20"/>
    </row>
    <row r="95" spans="1:7" x14ac:dyDescent="0.25">
      <c r="A95" s="16" t="str">
        <f t="shared" si="14"/>
        <v>Nefroskoopiline operatsioon (PCN) erivahendite komplekt</v>
      </c>
      <c r="B95" s="17" t="str">
        <f t="shared" si="15"/>
        <v>2911L</v>
      </c>
      <c r="C95" s="23" t="s">
        <v>180</v>
      </c>
      <c r="D95" s="19">
        <v>1</v>
      </c>
      <c r="E95" s="20">
        <v>1</v>
      </c>
      <c r="F95" s="20">
        <v>20.43</v>
      </c>
      <c r="G95" s="20"/>
    </row>
    <row r="96" spans="1:7" ht="23" x14ac:dyDescent="0.25">
      <c r="A96" s="16" t="str">
        <f t="shared" si="14"/>
        <v>Nefroskoopiline operatsioon (PCN) erivahendite komplekt</v>
      </c>
      <c r="B96" s="17" t="str">
        <f t="shared" si="15"/>
        <v>2911L</v>
      </c>
      <c r="C96" s="23" t="s">
        <v>181</v>
      </c>
      <c r="D96" s="19">
        <v>1</v>
      </c>
      <c r="E96" s="20">
        <v>0.5</v>
      </c>
      <c r="F96" s="20">
        <v>41.6</v>
      </c>
      <c r="G96" s="20"/>
    </row>
    <row r="97" spans="1:7" ht="23" x14ac:dyDescent="0.25">
      <c r="A97" s="16" t="str">
        <f t="shared" si="14"/>
        <v>Nefroskoopiline operatsioon (PCN) erivahendite komplekt</v>
      </c>
      <c r="B97" s="17" t="str">
        <f t="shared" si="15"/>
        <v>2911L</v>
      </c>
      <c r="C97" s="23" t="s">
        <v>182</v>
      </c>
      <c r="D97" s="19">
        <v>1</v>
      </c>
      <c r="E97" s="20">
        <v>0.5</v>
      </c>
      <c r="F97" s="20">
        <v>187.78</v>
      </c>
      <c r="G97" s="20"/>
    </row>
    <row r="98" spans="1:7" x14ac:dyDescent="0.25">
      <c r="A98" s="16" t="str">
        <f t="shared" si="14"/>
        <v>Nefroskoopiline operatsioon (PCN) erivahendite komplekt</v>
      </c>
      <c r="B98" s="17" t="str">
        <f t="shared" si="15"/>
        <v>2911L</v>
      </c>
      <c r="C98" s="23" t="s">
        <v>183</v>
      </c>
      <c r="D98" s="19">
        <v>1</v>
      </c>
      <c r="E98" s="20">
        <v>0.5</v>
      </c>
      <c r="F98" s="20">
        <v>66</v>
      </c>
      <c r="G98" s="20"/>
    </row>
    <row r="99" spans="1:7" x14ac:dyDescent="0.25">
      <c r="A99" s="16" t="str">
        <f t="shared" si="14"/>
        <v>Nefroskoopiline operatsioon (PCN) erivahendite komplekt</v>
      </c>
      <c r="B99" s="17" t="str">
        <f t="shared" si="15"/>
        <v>2911L</v>
      </c>
      <c r="C99" s="23" t="s">
        <v>184</v>
      </c>
      <c r="D99" s="19">
        <v>1.5</v>
      </c>
      <c r="E99" s="20">
        <v>1</v>
      </c>
      <c r="F99" s="20">
        <v>56.4</v>
      </c>
      <c r="G99" s="20"/>
    </row>
    <row r="100" spans="1:7" x14ac:dyDescent="0.25">
      <c r="A100" s="16" t="str">
        <f t="shared" si="14"/>
        <v>Nefroskoopiline operatsioon (PCN) erivahendite komplekt</v>
      </c>
      <c r="B100" s="17" t="str">
        <f t="shared" si="15"/>
        <v>2911L</v>
      </c>
      <c r="C100" s="23" t="s">
        <v>185</v>
      </c>
      <c r="D100" s="19">
        <v>1</v>
      </c>
      <c r="E100" s="20">
        <v>1</v>
      </c>
      <c r="F100" s="20">
        <v>31.52</v>
      </c>
      <c r="G100" s="20"/>
    </row>
    <row r="101" spans="1:7" x14ac:dyDescent="0.25">
      <c r="A101" s="16" t="str">
        <f t="shared" si="14"/>
        <v>Nefroskoopiline operatsioon (PCN) erivahendite komplekt</v>
      </c>
      <c r="B101" s="17" t="str">
        <f t="shared" si="15"/>
        <v>2911L</v>
      </c>
      <c r="C101" s="23" t="s">
        <v>186</v>
      </c>
      <c r="D101" s="19">
        <v>1</v>
      </c>
      <c r="E101" s="20">
        <v>1</v>
      </c>
      <c r="F101" s="20">
        <v>28.09</v>
      </c>
      <c r="G101" s="20"/>
    </row>
    <row r="102" spans="1:7" x14ac:dyDescent="0.25">
      <c r="A102" s="16" t="str">
        <f t="shared" si="14"/>
        <v>Nefroskoopiline operatsioon (PCN) erivahendite komplekt</v>
      </c>
      <c r="B102" s="17" t="str">
        <f t="shared" si="15"/>
        <v>2911L</v>
      </c>
      <c r="C102" s="23" t="s">
        <v>187</v>
      </c>
      <c r="D102" s="19">
        <v>1</v>
      </c>
      <c r="E102" s="20">
        <v>1</v>
      </c>
      <c r="F102" s="20">
        <v>2.25</v>
      </c>
      <c r="G102" s="20"/>
    </row>
    <row r="103" spans="1:7" x14ac:dyDescent="0.25">
      <c r="A103" s="16" t="str">
        <f t="shared" si="14"/>
        <v>Nefroskoopiline operatsioon (PCN) erivahendite komplekt</v>
      </c>
      <c r="B103" s="17" t="str">
        <f t="shared" si="15"/>
        <v>2911L</v>
      </c>
      <c r="C103" s="23" t="s">
        <v>188</v>
      </c>
      <c r="D103" s="19">
        <v>1</v>
      </c>
      <c r="E103" s="20">
        <v>1</v>
      </c>
      <c r="F103" s="20">
        <v>5.37</v>
      </c>
      <c r="G103" s="20"/>
    </row>
    <row r="104" spans="1:7" x14ac:dyDescent="0.25">
      <c r="A104" s="16" t="s">
        <v>189</v>
      </c>
      <c r="B104" s="17" t="s">
        <v>190</v>
      </c>
      <c r="C104" s="18" t="s">
        <v>189</v>
      </c>
      <c r="D104" s="19">
        <v>1</v>
      </c>
      <c r="E104" s="20">
        <v>1</v>
      </c>
      <c r="F104" s="20">
        <v>103.73</v>
      </c>
      <c r="G104" s="20">
        <v>103.73</v>
      </c>
    </row>
    <row r="105" spans="1:7" x14ac:dyDescent="0.25">
      <c r="A105" s="16" t="s">
        <v>191</v>
      </c>
      <c r="B105" s="17" t="s">
        <v>192</v>
      </c>
      <c r="C105" s="18" t="s">
        <v>191</v>
      </c>
      <c r="D105" s="19">
        <v>1</v>
      </c>
      <c r="E105" s="20">
        <v>1</v>
      </c>
      <c r="F105" s="20">
        <v>6005.9</v>
      </c>
      <c r="G105" s="20">
        <v>6005.9</v>
      </c>
    </row>
    <row r="106" spans="1:7" x14ac:dyDescent="0.25">
      <c r="A106" s="24" t="s">
        <v>193</v>
      </c>
      <c r="B106" s="35" t="s">
        <v>194</v>
      </c>
      <c r="C106" s="24" t="s">
        <v>193</v>
      </c>
      <c r="D106" s="26">
        <v>1</v>
      </c>
      <c r="E106" s="27">
        <v>1</v>
      </c>
      <c r="F106" s="27">
        <v>94.8</v>
      </c>
      <c r="G106" s="27">
        <v>94.8</v>
      </c>
    </row>
    <row r="107" spans="1:7" x14ac:dyDescent="0.25">
      <c r="A107" s="16" t="s">
        <v>195</v>
      </c>
      <c r="B107" s="22" t="s">
        <v>196</v>
      </c>
      <c r="C107" s="18" t="s">
        <v>195</v>
      </c>
      <c r="D107" s="19">
        <v>1</v>
      </c>
      <c r="E107" s="20">
        <v>1</v>
      </c>
      <c r="F107" s="20">
        <v>24.61</v>
      </c>
      <c r="G107" s="20">
        <v>24.61</v>
      </c>
    </row>
    <row r="108" spans="1:7" x14ac:dyDescent="0.25">
      <c r="A108" s="21" t="s">
        <v>197</v>
      </c>
      <c r="B108" s="23" t="s">
        <v>198</v>
      </c>
      <c r="C108" s="23" t="s">
        <v>197</v>
      </c>
      <c r="D108" s="19">
        <v>1</v>
      </c>
      <c r="E108" s="20">
        <v>1</v>
      </c>
      <c r="F108" s="20">
        <v>1191.3699999999999</v>
      </c>
      <c r="G108" s="20">
        <v>1191.3699999999999</v>
      </c>
    </row>
    <row r="109" spans="1:7" ht="23" x14ac:dyDescent="0.25">
      <c r="A109" s="21" t="s">
        <v>199</v>
      </c>
      <c r="B109" s="23" t="s">
        <v>200</v>
      </c>
      <c r="C109" s="23" t="s">
        <v>199</v>
      </c>
      <c r="D109" s="19">
        <v>1</v>
      </c>
      <c r="E109" s="20">
        <v>1</v>
      </c>
      <c r="F109" s="20">
        <v>572.02</v>
      </c>
      <c r="G109" s="27">
        <v>572.02</v>
      </c>
    </row>
    <row r="110" spans="1:7" x14ac:dyDescent="0.25">
      <c r="A110" s="21" t="s">
        <v>201</v>
      </c>
      <c r="B110" s="23" t="s">
        <v>202</v>
      </c>
      <c r="C110" s="23" t="s">
        <v>201</v>
      </c>
      <c r="D110" s="19">
        <v>1</v>
      </c>
      <c r="E110" s="20">
        <v>1</v>
      </c>
      <c r="F110" s="20">
        <v>710.12</v>
      </c>
      <c r="G110" s="20">
        <v>710.12</v>
      </c>
    </row>
    <row r="111" spans="1:7" x14ac:dyDescent="0.25">
      <c r="A111" s="21" t="s">
        <v>203</v>
      </c>
      <c r="B111" s="23" t="s">
        <v>204</v>
      </c>
      <c r="C111" s="23" t="s">
        <v>203</v>
      </c>
      <c r="D111" s="19">
        <v>1</v>
      </c>
      <c r="E111" s="20">
        <v>1</v>
      </c>
      <c r="F111" s="20">
        <v>188.73</v>
      </c>
      <c r="G111" s="20">
        <v>188.73</v>
      </c>
    </row>
    <row r="112" spans="1:7" x14ac:dyDescent="0.25">
      <c r="A112" s="21" t="s">
        <v>205</v>
      </c>
      <c r="B112" s="23" t="s">
        <v>206</v>
      </c>
      <c r="C112" s="23" t="s">
        <v>205</v>
      </c>
      <c r="D112" s="19">
        <v>1</v>
      </c>
      <c r="E112" s="20">
        <v>1</v>
      </c>
      <c r="F112" s="20">
        <v>1179.49</v>
      </c>
      <c r="G112" s="20">
        <v>1179.49</v>
      </c>
    </row>
    <row r="113" spans="1:7" x14ac:dyDescent="0.25">
      <c r="A113" s="21" t="s">
        <v>207</v>
      </c>
      <c r="B113" s="23" t="s">
        <v>208</v>
      </c>
      <c r="C113" s="23" t="s">
        <v>207</v>
      </c>
      <c r="D113" s="19">
        <v>1</v>
      </c>
      <c r="E113" s="20">
        <v>1</v>
      </c>
      <c r="F113" s="20">
        <v>241.71</v>
      </c>
      <c r="G113" s="20">
        <v>241.71</v>
      </c>
    </row>
    <row r="114" spans="1:7" x14ac:dyDescent="0.25">
      <c r="A114" s="21" t="s">
        <v>209</v>
      </c>
      <c r="B114" s="23" t="s">
        <v>210</v>
      </c>
      <c r="C114" s="23" t="s">
        <v>211</v>
      </c>
      <c r="D114" s="19">
        <v>1</v>
      </c>
      <c r="E114" s="20">
        <v>0.14000000000000001</v>
      </c>
      <c r="F114" s="20">
        <v>990.63</v>
      </c>
      <c r="G114" s="20">
        <v>1374.1</v>
      </c>
    </row>
    <row r="115" spans="1:7" x14ac:dyDescent="0.25">
      <c r="A115" s="21" t="str">
        <f t="shared" ref="A115:B116" si="16">A114</f>
        <v>Unikondülaarne põlveliigese protees</v>
      </c>
      <c r="B115" s="23" t="str">
        <f t="shared" si="16"/>
        <v>2672L</v>
      </c>
      <c r="C115" s="23" t="s">
        <v>212</v>
      </c>
      <c r="D115" s="19">
        <v>1</v>
      </c>
      <c r="E115" s="20">
        <v>0.78</v>
      </c>
      <c r="F115" s="20">
        <v>1374.1</v>
      </c>
      <c r="G115" s="20"/>
    </row>
    <row r="116" spans="1:7" x14ac:dyDescent="0.25">
      <c r="A116" s="21" t="str">
        <f t="shared" si="16"/>
        <v>Unikondülaarne põlveliigese protees</v>
      </c>
      <c r="B116" s="23" t="str">
        <f t="shared" si="16"/>
        <v>2672L</v>
      </c>
      <c r="C116" s="23" t="s">
        <v>213</v>
      </c>
      <c r="D116" s="19">
        <v>1</v>
      </c>
      <c r="E116" s="20">
        <v>0.08</v>
      </c>
      <c r="F116" s="20">
        <v>2045.17</v>
      </c>
      <c r="G116" s="20"/>
    </row>
    <row r="117" spans="1:7" x14ac:dyDescent="0.25">
      <c r="A117" s="16" t="s">
        <v>214</v>
      </c>
      <c r="B117" s="23" t="s">
        <v>215</v>
      </c>
      <c r="C117" s="18" t="s">
        <v>216</v>
      </c>
      <c r="D117" s="19">
        <v>1</v>
      </c>
      <c r="E117" s="20">
        <v>0.5625</v>
      </c>
      <c r="F117" s="20">
        <v>3016.82</v>
      </c>
      <c r="G117" s="20">
        <v>2794.08</v>
      </c>
    </row>
    <row r="118" spans="1:7" x14ac:dyDescent="0.25">
      <c r="A118" s="21" t="str">
        <f t="shared" ref="A118:B119" si="17">A117</f>
        <v>Erikonrstruktsiooniga protees (põlv, õlg, ranne, küünarliiges, hüppeliiges)</v>
      </c>
      <c r="B118" s="23" t="str">
        <f t="shared" si="17"/>
        <v>2673L</v>
      </c>
      <c r="C118" s="18" t="s">
        <v>217</v>
      </c>
      <c r="D118" s="19">
        <v>1</v>
      </c>
      <c r="E118" s="20">
        <v>0.4375</v>
      </c>
      <c r="F118" s="20">
        <v>2507.6999999999998</v>
      </c>
      <c r="G118" s="20"/>
    </row>
    <row r="119" spans="1:7" x14ac:dyDescent="0.25">
      <c r="A119" s="21" t="str">
        <f t="shared" si="17"/>
        <v>Erikonrstruktsiooniga protees (põlv, õlg, ranne, küünarliiges, hüppeliiges)</v>
      </c>
      <c r="B119" s="23" t="str">
        <f t="shared" si="17"/>
        <v>2673L</v>
      </c>
      <c r="C119" s="18" t="s">
        <v>218</v>
      </c>
      <c r="D119" s="19">
        <v>1</v>
      </c>
      <c r="E119" s="20">
        <v>0</v>
      </c>
      <c r="F119" s="20">
        <v>1861.75</v>
      </c>
      <c r="G119" s="20"/>
    </row>
    <row r="120" spans="1:7" x14ac:dyDescent="0.25">
      <c r="A120" s="16" t="s">
        <v>219</v>
      </c>
      <c r="B120" s="23" t="s">
        <v>220</v>
      </c>
      <c r="C120" s="23" t="s">
        <v>221</v>
      </c>
      <c r="D120" s="19">
        <v>1</v>
      </c>
      <c r="E120" s="20">
        <v>0.4</v>
      </c>
      <c r="F120" s="20">
        <v>7030.28</v>
      </c>
      <c r="G120" s="20">
        <v>5560.31</v>
      </c>
    </row>
    <row r="121" spans="1:7" x14ac:dyDescent="0.25">
      <c r="A121" s="21" t="str">
        <f t="shared" ref="A121:B122" si="18">A120</f>
        <v>Eripinnakonstruktsiooniga puusa- või põlveliigese protees</v>
      </c>
      <c r="B121" s="23" t="str">
        <f t="shared" si="18"/>
        <v>2674L</v>
      </c>
      <c r="C121" s="23" t="s">
        <v>222</v>
      </c>
      <c r="D121" s="19">
        <v>1</v>
      </c>
      <c r="E121" s="20">
        <v>0.2</v>
      </c>
      <c r="F121" s="20">
        <v>5432.49</v>
      </c>
      <c r="G121" s="20"/>
    </row>
    <row r="122" spans="1:7" x14ac:dyDescent="0.25">
      <c r="A122" s="21" t="str">
        <f t="shared" si="18"/>
        <v>Eripinnakonstruktsiooniga puusa- või põlveliigese protees</v>
      </c>
      <c r="B122" s="23" t="str">
        <f t="shared" si="18"/>
        <v>2674L</v>
      </c>
      <c r="C122" s="23" t="s">
        <v>223</v>
      </c>
      <c r="D122" s="19">
        <v>1</v>
      </c>
      <c r="E122" s="20">
        <v>0.4</v>
      </c>
      <c r="F122" s="20">
        <v>4154.26</v>
      </c>
      <c r="G122" s="20"/>
    </row>
    <row r="123" spans="1:7" x14ac:dyDescent="0.25">
      <c r="A123" s="21" t="s">
        <v>224</v>
      </c>
      <c r="B123" s="23" t="s">
        <v>225</v>
      </c>
      <c r="C123" s="23" t="s">
        <v>224</v>
      </c>
      <c r="D123" s="19">
        <v>1</v>
      </c>
      <c r="E123" s="20">
        <v>0.5</v>
      </c>
      <c r="F123" s="20">
        <v>1778.34</v>
      </c>
      <c r="G123" s="20">
        <v>1476.36</v>
      </c>
    </row>
    <row r="124" spans="1:7" x14ac:dyDescent="0.25">
      <c r="A124" s="21" t="str">
        <f t="shared" ref="A124:B124" si="19">A123</f>
        <v>Vaagnaluu defekti asenduv tugiimplantaat</v>
      </c>
      <c r="B124" s="23" t="str">
        <f t="shared" si="19"/>
        <v>2675L</v>
      </c>
      <c r="C124" s="23" t="s">
        <v>226</v>
      </c>
      <c r="D124" s="19">
        <v>1</v>
      </c>
      <c r="E124" s="20">
        <v>0.5</v>
      </c>
      <c r="F124" s="20">
        <v>1174.3800000000001</v>
      </c>
      <c r="G124" s="20"/>
    </row>
    <row r="125" spans="1:7" x14ac:dyDescent="0.25">
      <c r="A125" s="21" t="s">
        <v>227</v>
      </c>
      <c r="B125" s="23" t="s">
        <v>228</v>
      </c>
      <c r="C125" s="35" t="s">
        <v>229</v>
      </c>
      <c r="D125" s="26">
        <v>1</v>
      </c>
      <c r="E125" s="31">
        <v>0.375</v>
      </c>
      <c r="F125" s="27">
        <v>197.43</v>
      </c>
      <c r="G125" s="27">
        <v>197.43</v>
      </c>
    </row>
    <row r="126" spans="1:7" x14ac:dyDescent="0.25">
      <c r="A126" s="24" t="str">
        <f t="shared" ref="A126:B132" si="20">A125</f>
        <v>Negatiivse rõhuga kinnine süsteem (vaakumteraapia-VAC süsteem)</v>
      </c>
      <c r="B126" s="35" t="str">
        <f t="shared" si="20"/>
        <v>2676L</v>
      </c>
      <c r="C126" s="35" t="s">
        <v>230</v>
      </c>
      <c r="D126" s="26">
        <v>1</v>
      </c>
      <c r="E126" s="31">
        <v>0.375</v>
      </c>
      <c r="F126" s="27"/>
      <c r="G126" s="27"/>
    </row>
    <row r="127" spans="1:7" x14ac:dyDescent="0.25">
      <c r="A127" s="24" t="str">
        <f t="shared" si="20"/>
        <v>Negatiivse rõhuga kinnine süsteem (vaakumteraapia-VAC süsteem)</v>
      </c>
      <c r="B127" s="35" t="str">
        <f t="shared" si="20"/>
        <v>2676L</v>
      </c>
      <c r="C127" s="35" t="s">
        <v>231</v>
      </c>
      <c r="D127" s="26">
        <v>1</v>
      </c>
      <c r="E127" s="31">
        <v>0.25</v>
      </c>
      <c r="F127" s="27"/>
      <c r="G127" s="27"/>
    </row>
    <row r="128" spans="1:7" x14ac:dyDescent="0.25">
      <c r="A128" s="24" t="str">
        <f t="shared" si="20"/>
        <v>Negatiivse rõhuga kinnine süsteem (vaakumteraapia-VAC süsteem)</v>
      </c>
      <c r="B128" s="35" t="str">
        <f t="shared" si="20"/>
        <v>2676L</v>
      </c>
      <c r="C128" s="35" t="s">
        <v>232</v>
      </c>
      <c r="D128" s="26">
        <v>1</v>
      </c>
      <c r="E128" s="31">
        <v>0</v>
      </c>
      <c r="F128" s="27"/>
      <c r="G128" s="27"/>
    </row>
    <row r="129" spans="1:7" x14ac:dyDescent="0.25">
      <c r="A129" s="24" t="str">
        <f t="shared" si="20"/>
        <v>Negatiivse rõhuga kinnine süsteem (vaakumteraapia-VAC süsteem)</v>
      </c>
      <c r="B129" s="35" t="str">
        <f t="shared" si="20"/>
        <v>2676L</v>
      </c>
      <c r="C129" s="35" t="s">
        <v>233</v>
      </c>
      <c r="D129" s="26">
        <v>1</v>
      </c>
      <c r="E129" s="31">
        <v>1</v>
      </c>
      <c r="F129" s="27"/>
      <c r="G129" s="27"/>
    </row>
    <row r="130" spans="1:7" x14ac:dyDescent="0.25">
      <c r="A130" s="24" t="str">
        <f t="shared" si="20"/>
        <v>Negatiivse rõhuga kinnine süsteem (vaakumteraapia-VAC süsteem)</v>
      </c>
      <c r="B130" s="35" t="str">
        <f t="shared" si="20"/>
        <v>2676L</v>
      </c>
      <c r="C130" s="35" t="s">
        <v>234</v>
      </c>
      <c r="D130" s="26">
        <v>1</v>
      </c>
      <c r="E130" s="31">
        <v>1</v>
      </c>
      <c r="F130" s="27"/>
      <c r="G130" s="27"/>
    </row>
    <row r="131" spans="1:7" x14ac:dyDescent="0.25">
      <c r="A131" s="24" t="str">
        <f t="shared" si="20"/>
        <v>Negatiivse rõhuga kinnine süsteem (vaakumteraapia-VAC süsteem)</v>
      </c>
      <c r="B131" s="35" t="str">
        <f t="shared" si="20"/>
        <v>2676L</v>
      </c>
      <c r="C131" s="35" t="s">
        <v>235</v>
      </c>
      <c r="D131" s="26">
        <v>1</v>
      </c>
      <c r="E131" s="31">
        <v>1.1000000000000001E-3</v>
      </c>
      <c r="F131" s="27"/>
      <c r="G131" s="27"/>
    </row>
    <row r="132" spans="1:7" x14ac:dyDescent="0.25">
      <c r="A132" s="24" t="str">
        <f t="shared" si="20"/>
        <v>Negatiivse rõhuga kinnine süsteem (vaakumteraapia-VAC süsteem)</v>
      </c>
      <c r="B132" s="35" t="str">
        <f t="shared" si="20"/>
        <v>2676L</v>
      </c>
      <c r="C132" s="35" t="s">
        <v>236</v>
      </c>
      <c r="D132" s="26">
        <v>1</v>
      </c>
      <c r="E132" s="31">
        <v>0.33300000000000002</v>
      </c>
      <c r="F132" s="27"/>
      <c r="G132" s="27"/>
    </row>
    <row r="133" spans="1:7" x14ac:dyDescent="0.25">
      <c r="A133" s="24" t="s">
        <v>237</v>
      </c>
      <c r="B133" s="35" t="s">
        <v>238</v>
      </c>
      <c r="C133" s="35" t="s">
        <v>239</v>
      </c>
      <c r="D133" s="26">
        <v>1</v>
      </c>
      <c r="E133" s="31">
        <v>1</v>
      </c>
      <c r="F133" s="27">
        <v>133.9</v>
      </c>
      <c r="G133" s="31">
        <v>283.89999999999998</v>
      </c>
    </row>
    <row r="134" spans="1:7" x14ac:dyDescent="0.25">
      <c r="A134" s="24" t="str">
        <f t="shared" ref="A134:B134" si="21">A133</f>
        <v>Kodus kasutatav negatiivse rõhuga kinnine süsteem (vaakumteraapia-VAC süsteem)</v>
      </c>
      <c r="B134" s="35" t="str">
        <f t="shared" si="21"/>
        <v>2682L</v>
      </c>
      <c r="C134" s="35" t="s">
        <v>240</v>
      </c>
      <c r="D134" s="26">
        <v>5</v>
      </c>
      <c r="E134" s="31">
        <v>1</v>
      </c>
      <c r="F134" s="27">
        <v>150</v>
      </c>
      <c r="G134" s="35"/>
    </row>
    <row r="135" spans="1:7" x14ac:dyDescent="0.25">
      <c r="A135" s="21" t="s">
        <v>241</v>
      </c>
      <c r="B135" s="23" t="s">
        <v>242</v>
      </c>
      <c r="C135" s="35" t="s">
        <v>243</v>
      </c>
      <c r="D135" s="26">
        <v>1</v>
      </c>
      <c r="E135" s="27">
        <v>1</v>
      </c>
      <c r="F135" s="27">
        <v>149.22999999999999</v>
      </c>
      <c r="G135" s="27">
        <v>149.22999999999999</v>
      </c>
    </row>
    <row r="136" spans="1:7" x14ac:dyDescent="0.25">
      <c r="A136" s="36" t="s">
        <v>244</v>
      </c>
      <c r="B136" s="23" t="s">
        <v>245</v>
      </c>
      <c r="C136" s="36" t="s">
        <v>244</v>
      </c>
      <c r="D136" s="26">
        <v>1</v>
      </c>
      <c r="E136" s="27">
        <v>1</v>
      </c>
      <c r="F136" s="27">
        <v>137.12</v>
      </c>
      <c r="G136" s="27">
        <f>F136</f>
        <v>137.12</v>
      </c>
    </row>
    <row r="137" spans="1:7" x14ac:dyDescent="0.25">
      <c r="A137" s="24" t="s">
        <v>246</v>
      </c>
      <c r="B137" s="35" t="s">
        <v>247</v>
      </c>
      <c r="C137" s="35" t="s">
        <v>248</v>
      </c>
      <c r="D137" s="26">
        <v>1</v>
      </c>
      <c r="E137" s="27">
        <v>1</v>
      </c>
      <c r="F137" s="27">
        <f>705*1.2</f>
        <v>846</v>
      </c>
      <c r="G137" s="27">
        <f>F137</f>
        <v>846</v>
      </c>
    </row>
    <row r="138" spans="1:7" x14ac:dyDescent="0.25">
      <c r="A138" s="37" t="s">
        <v>249</v>
      </c>
      <c r="B138" s="38" t="s">
        <v>250</v>
      </c>
      <c r="C138" s="39" t="s">
        <v>251</v>
      </c>
      <c r="D138" s="39">
        <v>1</v>
      </c>
      <c r="E138" s="40">
        <v>1</v>
      </c>
      <c r="F138" s="40">
        <v>117.88</v>
      </c>
      <c r="G138" s="41" t="s">
        <v>252</v>
      </c>
    </row>
    <row r="139" spans="1:7" x14ac:dyDescent="0.25">
      <c r="A139" s="24" t="s">
        <v>253</v>
      </c>
      <c r="B139" s="35" t="s">
        <v>254</v>
      </c>
      <c r="C139" s="42" t="s">
        <v>253</v>
      </c>
      <c r="D139" s="43">
        <v>1</v>
      </c>
      <c r="E139" s="44">
        <v>1</v>
      </c>
      <c r="F139" s="40">
        <f>G139</f>
        <v>3263.72</v>
      </c>
      <c r="G139" s="45">
        <v>3263.72</v>
      </c>
    </row>
    <row r="140" spans="1:7" x14ac:dyDescent="0.25">
      <c r="A140" s="24" t="s">
        <v>255</v>
      </c>
      <c r="B140" s="35" t="s">
        <v>256</v>
      </c>
      <c r="C140" s="42" t="s">
        <v>257</v>
      </c>
      <c r="D140" s="43">
        <v>1</v>
      </c>
      <c r="E140" s="44">
        <v>1</v>
      </c>
      <c r="F140" s="46">
        <v>11118</v>
      </c>
      <c r="G140" s="47">
        <f>E140*F140+E141*_ftnref1+E142*F142+E143*F143+E144*F144+E145*F145+E146*F146+E147*F147+E148*F148+E149*F149+E150*F150+E151*F151+E152*F152</f>
        <v>14474.110000000002</v>
      </c>
    </row>
    <row r="141" spans="1:7" x14ac:dyDescent="0.25">
      <c r="A141" s="24" t="str">
        <f t="shared" ref="A141:A152" si="22">A140</f>
        <v xml:space="preserve">Intratekaalnebaklofeenravimpumba komplekt </v>
      </c>
      <c r="B141" s="35" t="str">
        <f t="shared" ref="B141:B152" si="23">B140</f>
        <v>2730L</v>
      </c>
      <c r="C141" s="42" t="s">
        <v>258</v>
      </c>
      <c r="D141" s="43">
        <v>1</v>
      </c>
      <c r="E141" s="44">
        <v>1</v>
      </c>
      <c r="F141" s="46">
        <v>239.8</v>
      </c>
      <c r="G141" s="47"/>
    </row>
    <row r="142" spans="1:7" x14ac:dyDescent="0.25">
      <c r="A142" s="24" t="str">
        <f t="shared" si="22"/>
        <v xml:space="preserve">Intratekaalnebaklofeenravimpumba komplekt </v>
      </c>
      <c r="B142" s="35" t="str">
        <f t="shared" si="23"/>
        <v>2730L</v>
      </c>
      <c r="C142" s="42" t="s">
        <v>259</v>
      </c>
      <c r="D142" s="43">
        <v>1</v>
      </c>
      <c r="E142" s="44">
        <v>1</v>
      </c>
      <c r="F142" s="46">
        <v>560.26</v>
      </c>
      <c r="G142" s="47"/>
    </row>
    <row r="143" spans="1:7" x14ac:dyDescent="0.25">
      <c r="A143" s="24" t="str">
        <f t="shared" si="22"/>
        <v xml:space="preserve">Intratekaalnebaklofeenravimpumba komplekt </v>
      </c>
      <c r="B143" s="35" t="str">
        <f t="shared" si="23"/>
        <v>2730L</v>
      </c>
      <c r="C143" s="42" t="s">
        <v>260</v>
      </c>
      <c r="D143" s="43">
        <v>1</v>
      </c>
      <c r="E143" s="44">
        <v>1</v>
      </c>
      <c r="F143" s="46">
        <v>817.50000000000011</v>
      </c>
      <c r="G143" s="47"/>
    </row>
    <row r="144" spans="1:7" x14ac:dyDescent="0.25">
      <c r="A144" s="24" t="str">
        <f t="shared" si="22"/>
        <v xml:space="preserve">Intratekaalnebaklofeenravimpumba komplekt </v>
      </c>
      <c r="B144" s="35" t="str">
        <f t="shared" si="23"/>
        <v>2730L</v>
      </c>
      <c r="C144" s="42" t="s">
        <v>261</v>
      </c>
      <c r="D144" s="43">
        <v>1</v>
      </c>
      <c r="E144" s="44">
        <v>1</v>
      </c>
      <c r="F144" s="46">
        <v>250.70000000000002</v>
      </c>
      <c r="G144" s="47"/>
    </row>
    <row r="145" spans="1:7" x14ac:dyDescent="0.25">
      <c r="A145" s="24" t="str">
        <f t="shared" si="22"/>
        <v xml:space="preserve">Intratekaalnebaklofeenravimpumba komplekt </v>
      </c>
      <c r="B145" s="35" t="str">
        <f t="shared" si="23"/>
        <v>2730L</v>
      </c>
      <c r="C145" s="42" t="s">
        <v>262</v>
      </c>
      <c r="D145" s="43">
        <v>1</v>
      </c>
      <c r="E145" s="44">
        <v>1</v>
      </c>
      <c r="F145" s="46">
        <v>250.70000000000002</v>
      </c>
      <c r="G145" s="47"/>
    </row>
    <row r="146" spans="1:7" x14ac:dyDescent="0.25">
      <c r="A146" s="24" t="str">
        <f t="shared" si="22"/>
        <v xml:space="preserve">Intratekaalnebaklofeenravimpumba komplekt </v>
      </c>
      <c r="B146" s="35" t="str">
        <f t="shared" si="23"/>
        <v>2730L</v>
      </c>
      <c r="C146" s="42" t="s">
        <v>263</v>
      </c>
      <c r="D146" s="43">
        <v>1</v>
      </c>
      <c r="E146" s="44">
        <v>1</v>
      </c>
      <c r="F146" s="46">
        <v>63.220000000000006</v>
      </c>
      <c r="G146" s="47"/>
    </row>
    <row r="147" spans="1:7" x14ac:dyDescent="0.25">
      <c r="A147" s="24" t="str">
        <f t="shared" si="22"/>
        <v xml:space="preserve">Intratekaalnebaklofeenravimpumba komplekt </v>
      </c>
      <c r="B147" s="35" t="str">
        <f t="shared" si="23"/>
        <v>2730L</v>
      </c>
      <c r="C147" s="42" t="s">
        <v>264</v>
      </c>
      <c r="D147" s="43">
        <v>1</v>
      </c>
      <c r="E147" s="44">
        <v>1</v>
      </c>
      <c r="F147" s="46">
        <v>276.86</v>
      </c>
      <c r="G147" s="47"/>
    </row>
    <row r="148" spans="1:7" x14ac:dyDescent="0.25">
      <c r="A148" s="24" t="str">
        <f t="shared" si="22"/>
        <v xml:space="preserve">Intratekaalnebaklofeenravimpumba komplekt </v>
      </c>
      <c r="B148" s="35" t="str">
        <f t="shared" si="23"/>
        <v>2730L</v>
      </c>
      <c r="C148" s="42" t="s">
        <v>265</v>
      </c>
      <c r="D148" s="43">
        <v>1</v>
      </c>
      <c r="E148" s="44">
        <v>1</v>
      </c>
      <c r="F148" s="46">
        <v>250.70000000000002</v>
      </c>
      <c r="G148" s="47"/>
    </row>
    <row r="149" spans="1:7" x14ac:dyDescent="0.25">
      <c r="A149" s="24" t="str">
        <f t="shared" si="22"/>
        <v xml:space="preserve">Intratekaalnebaklofeenravimpumba komplekt </v>
      </c>
      <c r="B149" s="35" t="str">
        <f t="shared" si="23"/>
        <v>2730L</v>
      </c>
      <c r="C149" s="42" t="s">
        <v>266</v>
      </c>
      <c r="D149" s="43">
        <v>1</v>
      </c>
      <c r="E149" s="44">
        <v>1</v>
      </c>
      <c r="F149" s="46">
        <v>261.60000000000002</v>
      </c>
      <c r="G149" s="47"/>
    </row>
    <row r="150" spans="1:7" x14ac:dyDescent="0.25">
      <c r="A150" s="24" t="str">
        <f t="shared" si="22"/>
        <v xml:space="preserve">Intratekaalnebaklofeenravimpumba komplekt </v>
      </c>
      <c r="B150" s="35" t="str">
        <f t="shared" si="23"/>
        <v>2730L</v>
      </c>
      <c r="C150" s="42" t="s">
        <v>267</v>
      </c>
      <c r="D150" s="43">
        <v>1</v>
      </c>
      <c r="E150" s="44">
        <v>1</v>
      </c>
      <c r="F150" s="46">
        <v>196.20000000000002</v>
      </c>
      <c r="G150" s="47"/>
    </row>
    <row r="151" spans="1:7" x14ac:dyDescent="0.25">
      <c r="A151" s="24" t="str">
        <f t="shared" si="22"/>
        <v xml:space="preserve">Intratekaalnebaklofeenravimpumba komplekt </v>
      </c>
      <c r="B151" s="35" t="str">
        <f t="shared" si="23"/>
        <v>2730L</v>
      </c>
      <c r="C151" s="42" t="s">
        <v>268</v>
      </c>
      <c r="D151" s="43">
        <v>1</v>
      </c>
      <c r="E151" s="44">
        <v>1</v>
      </c>
      <c r="F151" s="46">
        <v>125.35000000000001</v>
      </c>
      <c r="G151" s="47"/>
    </row>
    <row r="152" spans="1:7" x14ac:dyDescent="0.25">
      <c r="A152" s="24" t="str">
        <f t="shared" si="22"/>
        <v xml:space="preserve">Intratekaalnebaklofeenravimpumba komplekt </v>
      </c>
      <c r="B152" s="35" t="str">
        <f t="shared" si="23"/>
        <v>2730L</v>
      </c>
      <c r="C152" s="42" t="s">
        <v>269</v>
      </c>
      <c r="D152" s="43">
        <v>1</v>
      </c>
      <c r="E152" s="44">
        <v>1</v>
      </c>
      <c r="F152" s="46">
        <v>63.220000000000006</v>
      </c>
      <c r="G152" s="47"/>
    </row>
    <row r="153" spans="1:7" x14ac:dyDescent="0.25">
      <c r="A153" s="24" t="s">
        <v>270</v>
      </c>
      <c r="B153" s="35" t="s">
        <v>271</v>
      </c>
      <c r="C153" s="42" t="s">
        <v>262</v>
      </c>
      <c r="D153" s="43">
        <v>1</v>
      </c>
      <c r="E153" s="44">
        <v>0.25</v>
      </c>
      <c r="F153" s="46">
        <v>250.70000000000002</v>
      </c>
      <c r="G153" s="47">
        <f>E153*F153+E154*F154+E155*F155+E156*F156</f>
        <v>259.96500000000003</v>
      </c>
    </row>
    <row r="154" spans="1:7" x14ac:dyDescent="0.25">
      <c r="A154" s="24" t="str">
        <f t="shared" ref="A154:B156" si="24">A153</f>
        <v xml:space="preserve">Intratekaalnebaklofeenravimpumba revisiooni komplekt </v>
      </c>
      <c r="B154" s="35" t="str">
        <f t="shared" si="24"/>
        <v>2731L</v>
      </c>
      <c r="C154" s="42" t="s">
        <v>272</v>
      </c>
      <c r="D154" s="43">
        <v>1</v>
      </c>
      <c r="E154" s="44">
        <v>0.25</v>
      </c>
      <c r="F154" s="46">
        <v>276.86</v>
      </c>
      <c r="G154" s="47"/>
    </row>
    <row r="155" spans="1:7" x14ac:dyDescent="0.25">
      <c r="A155" s="24" t="str">
        <f t="shared" si="24"/>
        <v xml:space="preserve">Intratekaalnebaklofeenravimpumba revisiooni komplekt </v>
      </c>
      <c r="B155" s="35" t="str">
        <f t="shared" si="24"/>
        <v>2731L</v>
      </c>
      <c r="C155" s="42" t="s">
        <v>273</v>
      </c>
      <c r="D155" s="43">
        <v>1</v>
      </c>
      <c r="E155" s="44">
        <v>0.25</v>
      </c>
      <c r="F155" s="46">
        <v>250.70000000000002</v>
      </c>
      <c r="G155" s="47"/>
    </row>
    <row r="156" spans="1:7" x14ac:dyDescent="0.25">
      <c r="A156" s="24" t="str">
        <f t="shared" si="24"/>
        <v xml:space="preserve">Intratekaalnebaklofeenravimpumba revisiooni komplekt </v>
      </c>
      <c r="B156" s="35" t="str">
        <f t="shared" si="24"/>
        <v>2731L</v>
      </c>
      <c r="C156" s="42" t="s">
        <v>274</v>
      </c>
      <c r="D156" s="43">
        <v>1</v>
      </c>
      <c r="E156" s="44">
        <v>0.25</v>
      </c>
      <c r="F156" s="46">
        <v>261.60000000000002</v>
      </c>
      <c r="G156" s="47"/>
    </row>
    <row r="157" spans="1:7" x14ac:dyDescent="0.25">
      <c r="A157" s="24" t="s">
        <v>275</v>
      </c>
      <c r="B157" s="35" t="s">
        <v>276</v>
      </c>
      <c r="C157" s="42" t="s">
        <v>275</v>
      </c>
      <c r="D157" s="43">
        <v>1</v>
      </c>
      <c r="E157" s="44">
        <v>1</v>
      </c>
      <c r="F157" s="46">
        <v>107400</v>
      </c>
      <c r="G157" s="47">
        <v>107400</v>
      </c>
    </row>
    <row r="158" spans="1:7" x14ac:dyDescent="0.25">
      <c r="A158" s="24" t="s">
        <v>277</v>
      </c>
      <c r="B158" s="35" t="s">
        <v>278</v>
      </c>
      <c r="C158" s="42" t="s">
        <v>277</v>
      </c>
      <c r="D158" s="43">
        <v>1</v>
      </c>
      <c r="E158" s="44">
        <v>1</v>
      </c>
      <c r="F158" s="46">
        <v>570</v>
      </c>
      <c r="G158" s="47">
        <f>F158*E158</f>
        <v>570</v>
      </c>
    </row>
    <row r="159" spans="1:7" x14ac:dyDescent="0.25">
      <c r="A159" s="24" t="s">
        <v>279</v>
      </c>
      <c r="B159" s="35" t="s">
        <v>280</v>
      </c>
      <c r="C159" s="42" t="s">
        <v>279</v>
      </c>
      <c r="D159" s="43">
        <v>1</v>
      </c>
      <c r="E159" s="44">
        <v>1</v>
      </c>
      <c r="F159" s="46">
        <v>2000</v>
      </c>
      <c r="G159" s="47">
        <f>F159*E159</f>
        <v>2000</v>
      </c>
    </row>
    <row r="160" spans="1:7" x14ac:dyDescent="0.25">
      <c r="A160" s="24" t="s">
        <v>281</v>
      </c>
      <c r="B160" s="35" t="s">
        <v>282</v>
      </c>
      <c r="C160" s="42" t="s">
        <v>281</v>
      </c>
      <c r="D160" s="43">
        <v>1</v>
      </c>
      <c r="E160" s="44">
        <v>1</v>
      </c>
      <c r="F160" s="46">
        <v>1171.1400000000001</v>
      </c>
      <c r="G160" s="47">
        <v>1171.1400000000001</v>
      </c>
    </row>
    <row r="161" spans="1:7" x14ac:dyDescent="0.25">
      <c r="A161" s="24" t="s">
        <v>283</v>
      </c>
      <c r="B161" s="35" t="s">
        <v>284</v>
      </c>
      <c r="C161" s="42" t="s">
        <v>283</v>
      </c>
      <c r="D161" s="43">
        <v>1</v>
      </c>
      <c r="E161" s="44">
        <v>1</v>
      </c>
      <c r="F161" s="46">
        <v>2189.7800000000002</v>
      </c>
      <c r="G161" s="47">
        <v>2189.7800000000002</v>
      </c>
    </row>
    <row r="162" spans="1:7" x14ac:dyDescent="0.25">
      <c r="A162" s="24" t="s">
        <v>285</v>
      </c>
      <c r="B162" s="35" t="s">
        <v>286</v>
      </c>
      <c r="C162" s="42" t="s">
        <v>285</v>
      </c>
      <c r="D162" s="43">
        <v>1</v>
      </c>
      <c r="E162" s="44">
        <v>1</v>
      </c>
      <c r="F162" s="46">
        <v>1820</v>
      </c>
      <c r="G162" s="47">
        <f>F162*E162</f>
        <v>1820</v>
      </c>
    </row>
    <row r="163" spans="1:7" x14ac:dyDescent="0.25">
      <c r="A163" s="24" t="s">
        <v>287</v>
      </c>
      <c r="B163" s="35" t="s">
        <v>288</v>
      </c>
      <c r="C163" s="42" t="s">
        <v>287</v>
      </c>
      <c r="D163" s="43">
        <v>1</v>
      </c>
      <c r="E163" s="44">
        <v>1</v>
      </c>
      <c r="F163" s="46">
        <v>780</v>
      </c>
      <c r="G163" s="47">
        <f>F163*E163</f>
        <v>780</v>
      </c>
    </row>
    <row r="164" spans="1:7" x14ac:dyDescent="0.25">
      <c r="A164" s="24" t="s">
        <v>289</v>
      </c>
      <c r="B164" s="35" t="s">
        <v>290</v>
      </c>
      <c r="C164" s="42" t="s">
        <v>289</v>
      </c>
      <c r="D164" s="43">
        <v>1</v>
      </c>
      <c r="E164" s="44">
        <v>1</v>
      </c>
      <c r="F164" s="46">
        <v>770</v>
      </c>
      <c r="G164" s="47">
        <f>F164*E164</f>
        <v>770</v>
      </c>
    </row>
    <row r="165" spans="1:7" x14ac:dyDescent="0.25">
      <c r="A165" s="24" t="s">
        <v>291</v>
      </c>
      <c r="B165" s="35" t="s">
        <v>292</v>
      </c>
      <c r="C165" s="42" t="s">
        <v>291</v>
      </c>
      <c r="D165" s="43">
        <v>1</v>
      </c>
      <c r="E165" s="44">
        <v>1</v>
      </c>
      <c r="F165" s="46">
        <v>16440</v>
      </c>
      <c r="G165" s="47">
        <v>16440</v>
      </c>
    </row>
    <row r="166" spans="1:7" x14ac:dyDescent="0.25">
      <c r="A166" s="24" t="s">
        <v>293</v>
      </c>
      <c r="B166" s="35" t="s">
        <v>294</v>
      </c>
      <c r="C166" s="42" t="s">
        <v>293</v>
      </c>
      <c r="D166" s="43">
        <v>1</v>
      </c>
      <c r="E166" s="44">
        <v>1</v>
      </c>
      <c r="F166" s="46">
        <v>3240</v>
      </c>
      <c r="G166" s="47">
        <f>F166*E166</f>
        <v>3240</v>
      </c>
    </row>
    <row r="167" spans="1:7" x14ac:dyDescent="0.25">
      <c r="A167" s="24" t="s">
        <v>295</v>
      </c>
      <c r="B167" s="35" t="s">
        <v>296</v>
      </c>
      <c r="C167" s="42" t="s">
        <v>297</v>
      </c>
      <c r="D167" s="43">
        <v>1</v>
      </c>
      <c r="E167" s="44">
        <v>1</v>
      </c>
      <c r="F167" s="46">
        <v>34</v>
      </c>
      <c r="G167" s="47">
        <v>122.6611</v>
      </c>
    </row>
    <row r="168" spans="1:7" x14ac:dyDescent="0.25">
      <c r="A168" s="24" t="str">
        <f t="shared" ref="A168:B174" si="25">A167</f>
        <v xml:space="preserve">Vereloome tüvirakkude ja terapeutiliste rakkude käitlemise tarvikute komplekt </v>
      </c>
      <c r="B168" s="35" t="str">
        <f t="shared" si="25"/>
        <v>2962L</v>
      </c>
      <c r="C168" s="42" t="s">
        <v>298</v>
      </c>
      <c r="D168" s="43">
        <v>9</v>
      </c>
      <c r="E168" s="44">
        <v>1</v>
      </c>
      <c r="F168" s="46">
        <v>0.192</v>
      </c>
      <c r="G168" s="47"/>
    </row>
    <row r="169" spans="1:7" x14ac:dyDescent="0.25">
      <c r="A169" s="24" t="str">
        <f t="shared" si="25"/>
        <v xml:space="preserve">Vereloome tüvirakkude ja terapeutiliste rakkude käitlemise tarvikute komplekt </v>
      </c>
      <c r="B169" s="35" t="str">
        <f t="shared" si="25"/>
        <v>2962L</v>
      </c>
      <c r="C169" s="42" t="s">
        <v>299</v>
      </c>
      <c r="D169" s="43">
        <v>100</v>
      </c>
      <c r="E169" s="44">
        <v>1</v>
      </c>
      <c r="F169" s="46">
        <v>0.45780000000000004</v>
      </c>
      <c r="G169" s="47"/>
    </row>
    <row r="170" spans="1:7" x14ac:dyDescent="0.25">
      <c r="A170" s="24" t="str">
        <f t="shared" si="25"/>
        <v xml:space="preserve">Vereloome tüvirakkude ja terapeutiliste rakkude käitlemise tarvikute komplekt </v>
      </c>
      <c r="B170" s="35" t="str">
        <f t="shared" si="25"/>
        <v>2962L</v>
      </c>
      <c r="C170" s="42" t="s">
        <v>300</v>
      </c>
      <c r="D170" s="43">
        <v>10</v>
      </c>
      <c r="E170" s="44">
        <v>1</v>
      </c>
      <c r="F170" s="46">
        <v>2.9</v>
      </c>
      <c r="G170" s="47"/>
    </row>
    <row r="171" spans="1:7" x14ac:dyDescent="0.25">
      <c r="A171" s="24" t="str">
        <f t="shared" si="25"/>
        <v xml:space="preserve">Vereloome tüvirakkude ja terapeutiliste rakkude käitlemise tarvikute komplekt </v>
      </c>
      <c r="B171" s="35" t="str">
        <f t="shared" si="25"/>
        <v>2962L</v>
      </c>
      <c r="C171" s="42" t="s">
        <v>301</v>
      </c>
      <c r="D171" s="43">
        <v>500</v>
      </c>
      <c r="E171" s="44">
        <v>1</v>
      </c>
      <c r="F171" s="46">
        <v>1.7222000000000001E-3</v>
      </c>
      <c r="G171" s="47"/>
    </row>
    <row r="172" spans="1:7" x14ac:dyDescent="0.25">
      <c r="A172" s="24" t="str">
        <f t="shared" si="25"/>
        <v xml:space="preserve">Vereloome tüvirakkude ja terapeutiliste rakkude käitlemise tarvikute komplekt </v>
      </c>
      <c r="B172" s="35" t="str">
        <f t="shared" si="25"/>
        <v>2962L</v>
      </c>
      <c r="C172" s="42" t="s">
        <v>302</v>
      </c>
      <c r="D172" s="43">
        <v>2</v>
      </c>
      <c r="E172" s="44">
        <v>1</v>
      </c>
      <c r="F172" s="46">
        <v>4.2960000000000003</v>
      </c>
      <c r="G172" s="47"/>
    </row>
    <row r="173" spans="1:7" ht="23" x14ac:dyDescent="0.25">
      <c r="A173" s="24" t="str">
        <f t="shared" si="25"/>
        <v xml:space="preserve">Vereloome tüvirakkude ja terapeutiliste rakkude käitlemise tarvikute komplekt </v>
      </c>
      <c r="B173" s="35" t="str">
        <f t="shared" si="25"/>
        <v>2962L</v>
      </c>
      <c r="C173" s="42" t="s">
        <v>303</v>
      </c>
      <c r="D173" s="43">
        <v>5</v>
      </c>
      <c r="E173" s="44">
        <v>1</v>
      </c>
      <c r="F173" s="46">
        <v>0.36</v>
      </c>
      <c r="G173" s="47"/>
    </row>
    <row r="174" spans="1:7" x14ac:dyDescent="0.25">
      <c r="A174" s="24" t="str">
        <f t="shared" si="25"/>
        <v xml:space="preserve">Vereloome tüvirakkude ja terapeutiliste rakkude käitlemise tarvikute komplekt </v>
      </c>
      <c r="B174" s="35" t="str">
        <f t="shared" si="25"/>
        <v>2962L</v>
      </c>
      <c r="C174" s="42" t="s">
        <v>304</v>
      </c>
      <c r="D174" s="43">
        <v>3</v>
      </c>
      <c r="E174" s="44">
        <v>1</v>
      </c>
      <c r="F174" s="46">
        <v>0.3</v>
      </c>
      <c r="G174" s="47"/>
    </row>
    <row r="175" spans="1:7" x14ac:dyDescent="0.25">
      <c r="A175" s="24" t="s">
        <v>305</v>
      </c>
      <c r="B175" s="35" t="s">
        <v>306</v>
      </c>
      <c r="C175" s="42" t="s">
        <v>305</v>
      </c>
      <c r="D175" s="43">
        <v>1</v>
      </c>
      <c r="E175" s="44">
        <v>1</v>
      </c>
      <c r="F175" s="46">
        <f>205*1.2</f>
        <v>246</v>
      </c>
      <c r="G175" s="47">
        <f>F175</f>
        <v>246</v>
      </c>
    </row>
    <row r="176" spans="1:7" x14ac:dyDescent="0.25">
      <c r="A176" s="24" t="s">
        <v>307</v>
      </c>
      <c r="B176" s="35" t="s">
        <v>308</v>
      </c>
      <c r="C176" s="42" t="s">
        <v>309</v>
      </c>
      <c r="D176" s="43">
        <v>1</v>
      </c>
      <c r="E176" s="44">
        <v>1</v>
      </c>
      <c r="F176" s="46">
        <f>111.85*1.09</f>
        <v>121.9165</v>
      </c>
      <c r="G176" s="47">
        <f>F176+F177+F178</f>
        <v>741.9194</v>
      </c>
    </row>
    <row r="177" spans="1:7" x14ac:dyDescent="0.25">
      <c r="A177" s="24" t="str">
        <f t="shared" ref="A177:B178" si="26">A176</f>
        <v>Püsiva rõhuga klapiga ajuvatsakese šunteerimise komplekt</v>
      </c>
      <c r="B177" s="35" t="str">
        <f t="shared" si="26"/>
        <v>2725L</v>
      </c>
      <c r="C177" s="42" t="s">
        <v>310</v>
      </c>
      <c r="D177" s="43">
        <v>1</v>
      </c>
      <c r="E177" s="44">
        <v>1</v>
      </c>
      <c r="F177" s="46">
        <f>127.82*1.09</f>
        <v>139.32380000000001</v>
      </c>
      <c r="G177" s="47"/>
    </row>
    <row r="178" spans="1:7" x14ac:dyDescent="0.25">
      <c r="A178" s="24" t="str">
        <f t="shared" si="26"/>
        <v>Püsiva rõhuga klapiga ajuvatsakese šunteerimise komplekt</v>
      </c>
      <c r="B178" s="35" t="str">
        <f t="shared" si="26"/>
        <v>2725L</v>
      </c>
      <c r="C178" s="42" t="s">
        <v>311</v>
      </c>
      <c r="D178" s="43"/>
      <c r="E178" s="44"/>
      <c r="F178" s="46">
        <f>440.99*1.09</f>
        <v>480.67910000000006</v>
      </c>
      <c r="G178" s="47"/>
    </row>
    <row r="179" spans="1:7" x14ac:dyDescent="0.25">
      <c r="A179" s="24" t="s">
        <v>312</v>
      </c>
      <c r="B179" s="35" t="s">
        <v>313</v>
      </c>
      <c r="C179" s="42" t="s">
        <v>314</v>
      </c>
      <c r="D179" s="43">
        <v>1</v>
      </c>
      <c r="E179" s="44">
        <v>1</v>
      </c>
      <c r="F179" s="46">
        <f>785*1.2</f>
        <v>942</v>
      </c>
      <c r="G179" s="47">
        <f>F179</f>
        <v>942</v>
      </c>
    </row>
    <row r="180" spans="1:7" x14ac:dyDescent="0.25">
      <c r="A180" s="24" t="s">
        <v>315</v>
      </c>
      <c r="B180" s="35" t="s">
        <v>316</v>
      </c>
      <c r="C180" s="42" t="s">
        <v>317</v>
      </c>
      <c r="D180" s="43">
        <v>8</v>
      </c>
      <c r="E180" s="44">
        <v>1</v>
      </c>
      <c r="F180" s="46">
        <f>77.51*1.09</f>
        <v>84.485900000000015</v>
      </c>
      <c r="G180" s="47">
        <f>D180*F180+D181*F181+D182*F182+D183*F183</f>
        <v>3570.7746000000002</v>
      </c>
    </row>
    <row r="181" spans="1:7" x14ac:dyDescent="0.25">
      <c r="A181" s="24" t="str">
        <f t="shared" ref="A181:B183" si="27">A180</f>
        <v>Kaela tagumise spondülodeesi vahendid</v>
      </c>
      <c r="B181" s="35" t="str">
        <f t="shared" si="27"/>
        <v>2727L</v>
      </c>
      <c r="C181" s="42" t="s">
        <v>318</v>
      </c>
      <c r="D181" s="43">
        <v>2</v>
      </c>
      <c r="E181" s="44">
        <v>1</v>
      </c>
      <c r="F181" s="46">
        <f>843.97*1.09</f>
        <v>919.92730000000006</v>
      </c>
      <c r="G181" s="47"/>
    </row>
    <row r="182" spans="1:7" x14ac:dyDescent="0.25">
      <c r="A182" s="24" t="str">
        <f t="shared" si="27"/>
        <v>Kaela tagumise spondülodeesi vahendid</v>
      </c>
      <c r="B182" s="35" t="str">
        <f t="shared" si="27"/>
        <v>2727L</v>
      </c>
      <c r="C182" s="42" t="s">
        <v>319</v>
      </c>
      <c r="D182" s="43">
        <v>2</v>
      </c>
      <c r="E182" s="44">
        <v>1</v>
      </c>
      <c r="F182" s="46">
        <f>241.98*1.09</f>
        <v>263.75819999999999</v>
      </c>
      <c r="G182" s="47"/>
    </row>
    <row r="183" spans="1:7" x14ac:dyDescent="0.25">
      <c r="A183" s="24" t="str">
        <f t="shared" si="27"/>
        <v>Kaela tagumise spondülodeesi vahendid</v>
      </c>
      <c r="B183" s="35" t="str">
        <f t="shared" si="27"/>
        <v>2727L</v>
      </c>
      <c r="C183" s="42" t="s">
        <v>320</v>
      </c>
      <c r="D183" s="43">
        <v>2</v>
      </c>
      <c r="E183" s="44">
        <v>1</v>
      </c>
      <c r="F183" s="46">
        <f>241.98*1.09</f>
        <v>263.75819999999999</v>
      </c>
      <c r="G183" s="47"/>
    </row>
    <row r="184" spans="1:7" x14ac:dyDescent="0.25">
      <c r="A184" s="24" t="s">
        <v>321</v>
      </c>
      <c r="B184" s="35" t="s">
        <v>322</v>
      </c>
      <c r="C184" s="42" t="s">
        <v>323</v>
      </c>
      <c r="D184" s="43">
        <v>1</v>
      </c>
      <c r="E184" s="44">
        <v>1</v>
      </c>
      <c r="F184" s="46">
        <f>817*1.09</f>
        <v>890.53000000000009</v>
      </c>
      <c r="G184" s="47">
        <f>(D184*F184)+(D185*F185)+F186</f>
        <v>1352.9516000000001</v>
      </c>
    </row>
    <row r="185" spans="1:7" x14ac:dyDescent="0.25">
      <c r="A185" s="24" t="str">
        <f t="shared" ref="A185:B186" si="28">A184</f>
        <v xml:space="preserve">Jäik kaeladiski protees täidisega </v>
      </c>
      <c r="B185" s="35" t="str">
        <f t="shared" si="28"/>
        <v>2728L</v>
      </c>
      <c r="C185" s="42" t="s">
        <v>90</v>
      </c>
      <c r="D185" s="43">
        <v>4</v>
      </c>
      <c r="E185" s="44">
        <v>1</v>
      </c>
      <c r="F185" s="46">
        <f>75.56*1.09</f>
        <v>82.360400000000013</v>
      </c>
      <c r="G185" s="47"/>
    </row>
    <row r="186" spans="1:7" x14ac:dyDescent="0.25">
      <c r="A186" s="24" t="str">
        <f t="shared" si="28"/>
        <v xml:space="preserve">Jäik kaeladiski protees täidisega </v>
      </c>
      <c r="B186" s="35" t="str">
        <f t="shared" si="28"/>
        <v>2728L</v>
      </c>
      <c r="C186" s="42" t="s">
        <v>324</v>
      </c>
      <c r="D186" s="43">
        <v>1</v>
      </c>
      <c r="E186" s="44">
        <v>1</v>
      </c>
      <c r="F186" s="46">
        <f>122*1.09</f>
        <v>132.98000000000002</v>
      </c>
      <c r="G186" s="47"/>
    </row>
    <row r="187" spans="1:7" x14ac:dyDescent="0.25">
      <c r="A187" s="24" t="s">
        <v>325</v>
      </c>
      <c r="B187" s="35" t="s">
        <v>326</v>
      </c>
      <c r="C187" s="42" t="s">
        <v>327</v>
      </c>
      <c r="D187" s="43">
        <v>1</v>
      </c>
      <c r="E187" s="44">
        <v>1</v>
      </c>
      <c r="F187" s="46">
        <f>2995/15.6466*1.09</f>
        <v>208.64277223166698</v>
      </c>
      <c r="G187" s="47">
        <f>SUM(F187:F189)</f>
        <v>1014.9304002147433</v>
      </c>
    </row>
    <row r="188" spans="1:7" ht="23" x14ac:dyDescent="0.25">
      <c r="A188" s="24" t="str">
        <f t="shared" ref="A188:B189" si="29">A187</f>
        <v>Vertebroplastika kompkt</v>
      </c>
      <c r="B188" s="35" t="str">
        <f t="shared" si="29"/>
        <v>2729L</v>
      </c>
      <c r="C188" s="42" t="s">
        <v>328</v>
      </c>
      <c r="D188" s="43">
        <v>1</v>
      </c>
      <c r="E188" s="44">
        <v>1</v>
      </c>
      <c r="F188" s="46">
        <f>8995/15.6466*1.09</f>
        <v>626.62495366405483</v>
      </c>
      <c r="G188" s="47"/>
    </row>
    <row r="189" spans="1:7" x14ac:dyDescent="0.25">
      <c r="A189" s="24" t="str">
        <f t="shared" si="29"/>
        <v>Vertebroplastika kompkt</v>
      </c>
      <c r="B189" s="35" t="str">
        <f t="shared" si="29"/>
        <v>2729L</v>
      </c>
      <c r="C189" s="42" t="s">
        <v>329</v>
      </c>
      <c r="D189" s="43">
        <v>1</v>
      </c>
      <c r="E189" s="44">
        <v>1</v>
      </c>
      <c r="F189" s="46">
        <f>2579/15.6466*1.09</f>
        <v>179.66267431902139</v>
      </c>
      <c r="G189" s="47"/>
    </row>
    <row r="190" spans="1:7" x14ac:dyDescent="0.25">
      <c r="A190" s="24" t="s">
        <v>330</v>
      </c>
      <c r="B190" s="35" t="s">
        <v>331</v>
      </c>
      <c r="C190" s="42" t="s">
        <v>332</v>
      </c>
      <c r="D190" s="43">
        <v>1</v>
      </c>
      <c r="E190" s="44">
        <v>0.9</v>
      </c>
      <c r="F190" s="46">
        <f>12598.49*1.2</f>
        <v>15118.187999999998</v>
      </c>
      <c r="G190" s="47">
        <v>17710.393199999999</v>
      </c>
    </row>
    <row r="191" spans="1:7" x14ac:dyDescent="0.25">
      <c r="A191" s="24" t="str">
        <f t="shared" ref="A191:A203" si="30">A190</f>
        <v>Kõhuaordi endovaskulaarne stentprotees</v>
      </c>
      <c r="B191" s="35" t="str">
        <f t="shared" ref="B191:B203" si="31">B190</f>
        <v>2818L</v>
      </c>
      <c r="C191" s="42" t="s">
        <v>333</v>
      </c>
      <c r="D191" s="43">
        <v>2</v>
      </c>
      <c r="E191" s="44">
        <v>0.9</v>
      </c>
      <c r="F191" s="46">
        <f>492.52*1.2</f>
        <v>591.024</v>
      </c>
      <c r="G191" s="47"/>
    </row>
    <row r="192" spans="1:7" x14ac:dyDescent="0.25">
      <c r="A192" s="24" t="str">
        <f t="shared" si="30"/>
        <v>Kõhuaordi endovaskulaarne stentprotees</v>
      </c>
      <c r="B192" s="35" t="str">
        <f t="shared" si="31"/>
        <v>2818L</v>
      </c>
      <c r="C192" s="42" t="s">
        <v>334</v>
      </c>
      <c r="D192" s="43">
        <v>2</v>
      </c>
      <c r="E192" s="44">
        <v>0.9</v>
      </c>
      <c r="F192" s="46">
        <f>82.08*1.2</f>
        <v>98.495999999999995</v>
      </c>
      <c r="G192" s="47"/>
    </row>
    <row r="193" spans="1:7" x14ac:dyDescent="0.25">
      <c r="A193" s="24" t="str">
        <f t="shared" si="30"/>
        <v>Kõhuaordi endovaskulaarne stentprotees</v>
      </c>
      <c r="B193" s="35" t="str">
        <f t="shared" si="31"/>
        <v>2818L</v>
      </c>
      <c r="C193" s="42" t="s">
        <v>335</v>
      </c>
      <c r="D193" s="43">
        <v>2</v>
      </c>
      <c r="E193" s="44">
        <v>0.9</v>
      </c>
      <c r="F193" s="46">
        <f>106.92*1.2</f>
        <v>128.304</v>
      </c>
      <c r="G193" s="47"/>
    </row>
    <row r="194" spans="1:7" x14ac:dyDescent="0.25">
      <c r="A194" s="24" t="str">
        <f t="shared" si="30"/>
        <v>Kõhuaordi endovaskulaarne stentprotees</v>
      </c>
      <c r="B194" s="35" t="str">
        <f t="shared" si="31"/>
        <v>2818L</v>
      </c>
      <c r="C194" s="42" t="s">
        <v>336</v>
      </c>
      <c r="D194" s="43">
        <v>1</v>
      </c>
      <c r="E194" s="44">
        <v>0.9</v>
      </c>
      <c r="F194" s="46">
        <f>805.2*1.2</f>
        <v>966.24</v>
      </c>
      <c r="G194" s="47"/>
    </row>
    <row r="195" spans="1:7" x14ac:dyDescent="0.25">
      <c r="A195" s="24" t="str">
        <f t="shared" si="30"/>
        <v>Kõhuaordi endovaskulaarne stentprotees</v>
      </c>
      <c r="B195" s="35" t="str">
        <f t="shared" si="31"/>
        <v>2818L</v>
      </c>
      <c r="C195" s="42" t="s">
        <v>337</v>
      </c>
      <c r="D195" s="43">
        <v>1</v>
      </c>
      <c r="E195" s="44">
        <v>0.1</v>
      </c>
      <c r="F195" s="46">
        <f>9250*1.2</f>
        <v>11100</v>
      </c>
      <c r="G195" s="47"/>
    </row>
    <row r="196" spans="1:7" x14ac:dyDescent="0.25">
      <c r="A196" s="24" t="str">
        <f t="shared" si="30"/>
        <v>Kõhuaordi endovaskulaarne stentprotees</v>
      </c>
      <c r="B196" s="35" t="str">
        <f t="shared" si="31"/>
        <v>2818L</v>
      </c>
      <c r="C196" s="42" t="s">
        <v>338</v>
      </c>
      <c r="D196" s="43">
        <v>2</v>
      </c>
      <c r="E196" s="44">
        <v>0.1</v>
      </c>
      <c r="F196" s="46">
        <f>650*1.2</f>
        <v>780</v>
      </c>
      <c r="G196" s="47"/>
    </row>
    <row r="197" spans="1:7" x14ac:dyDescent="0.25">
      <c r="A197" s="24" t="str">
        <f t="shared" si="30"/>
        <v>Kõhuaordi endovaskulaarne stentprotees</v>
      </c>
      <c r="B197" s="35" t="str">
        <f t="shared" si="31"/>
        <v>2818L</v>
      </c>
      <c r="C197" s="42" t="s">
        <v>339</v>
      </c>
      <c r="D197" s="43">
        <v>2</v>
      </c>
      <c r="E197" s="44">
        <v>0.1</v>
      </c>
      <c r="F197" s="46">
        <f>199*1.2</f>
        <v>238.79999999999998</v>
      </c>
      <c r="G197" s="47"/>
    </row>
    <row r="198" spans="1:7" x14ac:dyDescent="0.25">
      <c r="A198" s="24" t="str">
        <f t="shared" si="30"/>
        <v>Kõhuaordi endovaskulaarne stentprotees</v>
      </c>
      <c r="B198" s="35" t="str">
        <f t="shared" si="31"/>
        <v>2818L</v>
      </c>
      <c r="C198" s="42" t="s">
        <v>335</v>
      </c>
      <c r="D198" s="43">
        <v>2</v>
      </c>
      <c r="E198" s="44">
        <v>0.1</v>
      </c>
      <c r="F198" s="46">
        <f>106.92*1.2</f>
        <v>128.304</v>
      </c>
      <c r="G198" s="47"/>
    </row>
    <row r="199" spans="1:7" x14ac:dyDescent="0.25">
      <c r="A199" s="24" t="str">
        <f t="shared" si="30"/>
        <v>Kõhuaordi endovaskulaarne stentprotees</v>
      </c>
      <c r="B199" s="35" t="str">
        <f t="shared" si="31"/>
        <v>2818L</v>
      </c>
      <c r="C199" s="42" t="s">
        <v>340</v>
      </c>
      <c r="D199" s="43">
        <v>1</v>
      </c>
      <c r="E199" s="44">
        <v>0.1</v>
      </c>
      <c r="F199" s="46">
        <f>805.2*1.2</f>
        <v>966.24</v>
      </c>
      <c r="G199" s="47"/>
    </row>
    <row r="200" spans="1:7" x14ac:dyDescent="0.25">
      <c r="A200" s="24" t="str">
        <f t="shared" si="30"/>
        <v>Kõhuaordi endovaskulaarne stentprotees</v>
      </c>
      <c r="B200" s="35" t="str">
        <f t="shared" si="31"/>
        <v>2818L</v>
      </c>
      <c r="C200" s="42" t="s">
        <v>341</v>
      </c>
      <c r="D200" s="43">
        <v>2</v>
      </c>
      <c r="E200" s="44">
        <v>0.1</v>
      </c>
      <c r="F200" s="46">
        <f>250*1.2</f>
        <v>300</v>
      </c>
      <c r="G200" s="47"/>
    </row>
    <row r="201" spans="1:7" x14ac:dyDescent="0.25">
      <c r="A201" s="24" t="str">
        <f t="shared" si="30"/>
        <v>Kõhuaordi endovaskulaarne stentprotees</v>
      </c>
      <c r="B201" s="35" t="str">
        <f t="shared" si="31"/>
        <v>2818L</v>
      </c>
      <c r="C201" s="42" t="s">
        <v>342</v>
      </c>
      <c r="D201" s="43">
        <v>1</v>
      </c>
      <c r="E201" s="44">
        <v>0.1</v>
      </c>
      <c r="F201" s="46">
        <f>199*1.2</f>
        <v>238.79999999999998</v>
      </c>
      <c r="G201" s="47"/>
    </row>
    <row r="202" spans="1:7" x14ac:dyDescent="0.25">
      <c r="A202" s="24" t="str">
        <f t="shared" si="30"/>
        <v>Kõhuaordi endovaskulaarne stentprotees</v>
      </c>
      <c r="B202" s="35" t="str">
        <f t="shared" si="31"/>
        <v>2818L</v>
      </c>
      <c r="C202" s="42" t="s">
        <v>343</v>
      </c>
      <c r="D202" s="43">
        <v>0.5</v>
      </c>
      <c r="E202" s="44">
        <v>0.1</v>
      </c>
      <c r="F202" s="46">
        <f>1990*1.2</f>
        <v>2388</v>
      </c>
      <c r="G202" s="47"/>
    </row>
    <row r="203" spans="1:7" x14ac:dyDescent="0.25">
      <c r="A203" s="24" t="str">
        <f t="shared" si="30"/>
        <v>Kõhuaordi endovaskulaarne stentprotees</v>
      </c>
      <c r="B203" s="35" t="str">
        <f t="shared" si="31"/>
        <v>2818L</v>
      </c>
      <c r="C203" s="42" t="s">
        <v>344</v>
      </c>
      <c r="D203" s="43">
        <v>0.5</v>
      </c>
      <c r="E203" s="44">
        <v>0.1</v>
      </c>
      <c r="F203" s="46">
        <f>2050*1.2</f>
        <v>2460</v>
      </c>
      <c r="G203" s="47"/>
    </row>
    <row r="204" spans="1:7" x14ac:dyDescent="0.25">
      <c r="A204" s="24" t="s">
        <v>345</v>
      </c>
      <c r="B204" s="35" t="s">
        <v>346</v>
      </c>
      <c r="C204" s="42" t="s">
        <v>347</v>
      </c>
      <c r="D204" s="43">
        <v>1</v>
      </c>
      <c r="E204" s="44">
        <v>1</v>
      </c>
      <c r="F204" s="46">
        <f>13312.5*1.2</f>
        <v>15975</v>
      </c>
      <c r="G204" s="47">
        <f>SUM(F204:F209)</f>
        <v>17924.664000000001</v>
      </c>
    </row>
    <row r="205" spans="1:7" x14ac:dyDescent="0.25">
      <c r="A205" s="24" t="str">
        <f t="shared" ref="A205:B209" si="32">A204</f>
        <v>Torakaalaordi endovaskulaarne stentprotees</v>
      </c>
      <c r="B205" s="35" t="str">
        <f t="shared" si="32"/>
        <v>2819L</v>
      </c>
      <c r="C205" s="42" t="s">
        <v>348</v>
      </c>
      <c r="D205" s="43">
        <v>1</v>
      </c>
      <c r="E205" s="44">
        <v>1</v>
      </c>
      <c r="F205" s="46">
        <f>492.52*1.2</f>
        <v>591.024</v>
      </c>
      <c r="G205" s="47"/>
    </row>
    <row r="206" spans="1:7" x14ac:dyDescent="0.25">
      <c r="A206" s="24" t="str">
        <f t="shared" si="32"/>
        <v>Torakaalaordi endovaskulaarne stentprotees</v>
      </c>
      <c r="B206" s="35" t="str">
        <f t="shared" si="32"/>
        <v>2819L</v>
      </c>
      <c r="C206" s="42" t="s">
        <v>349</v>
      </c>
      <c r="D206" s="43">
        <v>1</v>
      </c>
      <c r="E206" s="44">
        <v>1</v>
      </c>
      <c r="F206" s="46">
        <f>82.08*1.2</f>
        <v>98.495999999999995</v>
      </c>
      <c r="G206" s="47"/>
    </row>
    <row r="207" spans="1:7" x14ac:dyDescent="0.25">
      <c r="A207" s="24" t="str">
        <f t="shared" si="32"/>
        <v>Torakaalaordi endovaskulaarne stentprotees</v>
      </c>
      <c r="B207" s="35" t="str">
        <f t="shared" si="32"/>
        <v>2819L</v>
      </c>
      <c r="C207" s="42" t="s">
        <v>350</v>
      </c>
      <c r="D207" s="43">
        <v>1</v>
      </c>
      <c r="E207" s="44">
        <v>1</v>
      </c>
      <c r="F207" s="46">
        <f>138*1.2</f>
        <v>165.6</v>
      </c>
      <c r="G207" s="47"/>
    </row>
    <row r="208" spans="1:7" x14ac:dyDescent="0.25">
      <c r="A208" s="24" t="str">
        <f t="shared" si="32"/>
        <v>Torakaalaordi endovaskulaarne stentprotees</v>
      </c>
      <c r="B208" s="35" t="str">
        <f t="shared" si="32"/>
        <v>2819L</v>
      </c>
      <c r="C208" s="42" t="s">
        <v>335</v>
      </c>
      <c r="D208" s="43">
        <v>1</v>
      </c>
      <c r="E208" s="44">
        <v>1</v>
      </c>
      <c r="F208" s="46">
        <f>106.92*1.2</f>
        <v>128.304</v>
      </c>
      <c r="G208" s="47"/>
    </row>
    <row r="209" spans="1:7" x14ac:dyDescent="0.25">
      <c r="A209" s="24" t="str">
        <f t="shared" si="32"/>
        <v>Torakaalaordi endovaskulaarne stentprotees</v>
      </c>
      <c r="B209" s="35" t="str">
        <f t="shared" si="32"/>
        <v>2819L</v>
      </c>
      <c r="C209" s="42" t="s">
        <v>351</v>
      </c>
      <c r="D209" s="43">
        <v>1</v>
      </c>
      <c r="E209" s="44">
        <v>1</v>
      </c>
      <c r="F209" s="46">
        <f>805.2*1.2</f>
        <v>966.24</v>
      </c>
      <c r="G209" s="47"/>
    </row>
    <row r="210" spans="1:7" x14ac:dyDescent="0.25">
      <c r="A210" s="35" t="s">
        <v>352</v>
      </c>
      <c r="B210" s="35" t="s">
        <v>353</v>
      </c>
      <c r="C210" s="42" t="s">
        <v>354</v>
      </c>
      <c r="D210" s="43">
        <v>1</v>
      </c>
      <c r="E210" s="44">
        <v>0.1</v>
      </c>
      <c r="F210" s="46">
        <f>890*1.2</f>
        <v>1068</v>
      </c>
      <c r="G210" s="47">
        <f>E210*F210+E211*F211</f>
        <v>2631.8940000000007</v>
      </c>
    </row>
    <row r="211" spans="1:7" x14ac:dyDescent="0.25">
      <c r="A211" s="24" t="str">
        <f t="shared" ref="A211:B211" si="33">A210</f>
        <v>Kõhuaordi endovaskulaarse stentproteesi proksimaalne pikendus</v>
      </c>
      <c r="B211" s="35" t="str">
        <f t="shared" si="33"/>
        <v>2820L</v>
      </c>
      <c r="C211" s="42" t="s">
        <v>355</v>
      </c>
      <c r="D211" s="43">
        <v>1</v>
      </c>
      <c r="E211" s="44">
        <v>0.9</v>
      </c>
      <c r="F211" s="46">
        <f>2338.05*1.2</f>
        <v>2805.6600000000003</v>
      </c>
      <c r="G211" s="47"/>
    </row>
    <row r="212" spans="1:7" x14ac:dyDescent="0.25">
      <c r="A212" s="35" t="s">
        <v>356</v>
      </c>
      <c r="B212" s="35" t="s">
        <v>357</v>
      </c>
      <c r="C212" s="42" t="s">
        <v>358</v>
      </c>
      <c r="D212" s="43">
        <v>0.5</v>
      </c>
      <c r="E212" s="44">
        <v>0.9</v>
      </c>
      <c r="F212" s="46">
        <f>2050.59*1.2</f>
        <v>2460.7080000000001</v>
      </c>
      <c r="G212" s="47">
        <f>E212*F212+E213*F213+E214*F214</f>
        <v>2457.0372000000002</v>
      </c>
    </row>
    <row r="213" spans="1:7" x14ac:dyDescent="0.25">
      <c r="A213" s="24" t="str">
        <f t="shared" ref="A213:B214" si="34">A212</f>
        <v>Kõhuaordi endovaskulaarse stentproteesi distaalne pikendus</v>
      </c>
      <c r="B213" s="35" t="str">
        <f t="shared" si="34"/>
        <v>2821L</v>
      </c>
      <c r="C213" s="42" t="s">
        <v>343</v>
      </c>
      <c r="D213" s="43"/>
      <c r="E213" s="44">
        <f>0.1*0.5</f>
        <v>0.05</v>
      </c>
      <c r="F213" s="46">
        <f>1990*1.2</f>
        <v>2388</v>
      </c>
      <c r="G213" s="47"/>
    </row>
    <row r="214" spans="1:7" x14ac:dyDescent="0.25">
      <c r="A214" s="24" t="str">
        <f t="shared" si="34"/>
        <v>Kõhuaordi endovaskulaarse stentproteesi distaalne pikendus</v>
      </c>
      <c r="B214" s="35" t="str">
        <f t="shared" si="34"/>
        <v>2821L</v>
      </c>
      <c r="C214" s="42" t="s">
        <v>344</v>
      </c>
      <c r="D214" s="43"/>
      <c r="E214" s="44">
        <f>0.1*0.5</f>
        <v>0.05</v>
      </c>
      <c r="F214" s="46">
        <f>2050*1.2</f>
        <v>2460</v>
      </c>
      <c r="G214" s="47"/>
    </row>
    <row r="215" spans="1:7" x14ac:dyDescent="0.25">
      <c r="A215" s="36" t="s">
        <v>359</v>
      </c>
      <c r="B215" s="35" t="s">
        <v>360</v>
      </c>
      <c r="C215" s="35" t="s">
        <v>361</v>
      </c>
      <c r="D215" s="26">
        <v>1</v>
      </c>
      <c r="E215" s="27">
        <v>1</v>
      </c>
      <c r="F215" s="27">
        <v>522.11</v>
      </c>
      <c r="G215" s="27">
        <v>522.11</v>
      </c>
    </row>
    <row r="216" spans="1:7" x14ac:dyDescent="0.25">
      <c r="A216" s="21" t="s">
        <v>362</v>
      </c>
      <c r="B216" s="35" t="s">
        <v>363</v>
      </c>
      <c r="C216" s="35" t="s">
        <v>362</v>
      </c>
      <c r="D216" s="26">
        <v>1</v>
      </c>
      <c r="E216" s="27">
        <v>1</v>
      </c>
      <c r="F216" s="27">
        <v>249.23</v>
      </c>
      <c r="G216" s="27">
        <f>F216</f>
        <v>249.23</v>
      </c>
    </row>
    <row r="217" spans="1:7" x14ac:dyDescent="0.25">
      <c r="A217" s="23" t="s">
        <v>364</v>
      </c>
      <c r="B217" s="35" t="s">
        <v>365</v>
      </c>
      <c r="C217" s="35" t="s">
        <v>366</v>
      </c>
      <c r="D217" s="26">
        <v>1</v>
      </c>
      <c r="E217" s="27">
        <v>0.4</v>
      </c>
      <c r="F217" s="27">
        <f>1679.4*1.09</f>
        <v>1830.5460000000003</v>
      </c>
      <c r="G217" s="27">
        <v>4039.4854000000018</v>
      </c>
    </row>
    <row r="218" spans="1:7" x14ac:dyDescent="0.25">
      <c r="A218" s="24" t="str">
        <f t="shared" ref="A218:A234" si="35">A217</f>
        <v xml:space="preserve">Kraniofatsiaalse osteosünteesi resorbeeruvate implantaatide komplekt </v>
      </c>
      <c r="B218" s="35" t="str">
        <f t="shared" ref="B218:B234" si="36">B217</f>
        <v>2644L</v>
      </c>
      <c r="C218" s="35" t="s">
        <v>367</v>
      </c>
      <c r="D218" s="26">
        <v>2</v>
      </c>
      <c r="E218" s="27">
        <v>0.4</v>
      </c>
      <c r="F218" s="27">
        <f>1041*1.09</f>
        <v>1134.69</v>
      </c>
      <c r="G218" s="27"/>
    </row>
    <row r="219" spans="1:7" x14ac:dyDescent="0.25">
      <c r="A219" s="24" t="str">
        <f t="shared" si="35"/>
        <v xml:space="preserve">Kraniofatsiaalse osteosünteesi resorbeeruvate implantaatide komplekt </v>
      </c>
      <c r="B219" s="35" t="str">
        <f t="shared" si="36"/>
        <v>2644L</v>
      </c>
      <c r="C219" s="35" t="s">
        <v>368</v>
      </c>
      <c r="D219" s="26">
        <v>5</v>
      </c>
      <c r="E219" s="27">
        <v>0.11</v>
      </c>
      <c r="F219" s="27">
        <f>193*1.09</f>
        <v>210.37</v>
      </c>
      <c r="G219" s="27"/>
    </row>
    <row r="220" spans="1:7" x14ac:dyDescent="0.25">
      <c r="A220" s="24" t="str">
        <f t="shared" si="35"/>
        <v xml:space="preserve">Kraniofatsiaalse osteosünteesi resorbeeruvate implantaatide komplekt </v>
      </c>
      <c r="B220" s="35" t="str">
        <f t="shared" si="36"/>
        <v>2644L</v>
      </c>
      <c r="C220" s="35" t="s">
        <v>369</v>
      </c>
      <c r="D220" s="26">
        <v>7</v>
      </c>
      <c r="E220" s="27">
        <v>0.26428571428571429</v>
      </c>
      <c r="F220" s="27">
        <f>741*1.09</f>
        <v>807.69</v>
      </c>
      <c r="G220" s="27"/>
    </row>
    <row r="221" spans="1:7" x14ac:dyDescent="0.25">
      <c r="A221" s="24" t="str">
        <f t="shared" si="35"/>
        <v xml:space="preserve">Kraniofatsiaalse osteosünteesi resorbeeruvate implantaatide komplekt </v>
      </c>
      <c r="B221" s="35" t="str">
        <f t="shared" si="36"/>
        <v>2644L</v>
      </c>
      <c r="C221" s="35" t="s">
        <v>370</v>
      </c>
      <c r="D221" s="26">
        <v>6</v>
      </c>
      <c r="E221" s="27">
        <v>0.23333333333333331</v>
      </c>
      <c r="F221" s="27">
        <f>237.5*1.09</f>
        <v>258.875</v>
      </c>
      <c r="G221" s="27"/>
    </row>
    <row r="222" spans="1:7" x14ac:dyDescent="0.25">
      <c r="A222" s="24" t="str">
        <f t="shared" si="35"/>
        <v xml:space="preserve">Kraniofatsiaalse osteosünteesi resorbeeruvate implantaatide komplekt </v>
      </c>
      <c r="B222" s="35" t="str">
        <f t="shared" si="36"/>
        <v>2644L</v>
      </c>
      <c r="C222" s="35" t="s">
        <v>371</v>
      </c>
      <c r="D222" s="26">
        <v>0.4</v>
      </c>
      <c r="E222" s="27">
        <v>0.25</v>
      </c>
      <c r="F222" s="27">
        <f>295*1.2</f>
        <v>354</v>
      </c>
      <c r="G222" s="27"/>
    </row>
    <row r="223" spans="1:7" x14ac:dyDescent="0.25">
      <c r="A223" s="24" t="str">
        <f t="shared" si="35"/>
        <v xml:space="preserve">Kraniofatsiaalse osteosünteesi resorbeeruvate implantaatide komplekt </v>
      </c>
      <c r="B223" s="35" t="str">
        <f t="shared" si="36"/>
        <v>2644L</v>
      </c>
      <c r="C223" s="35" t="s">
        <v>372</v>
      </c>
      <c r="D223" s="26">
        <v>1</v>
      </c>
      <c r="E223" s="27">
        <v>1.6666666666666666E-2</v>
      </c>
      <c r="F223" s="27">
        <v>8508</v>
      </c>
      <c r="G223" s="27"/>
    </row>
    <row r="224" spans="1:7" x14ac:dyDescent="0.25">
      <c r="A224" s="24" t="str">
        <f t="shared" si="35"/>
        <v xml:space="preserve">Kraniofatsiaalse osteosünteesi resorbeeruvate implantaatide komplekt </v>
      </c>
      <c r="B224" s="35" t="str">
        <f t="shared" si="36"/>
        <v>2644L</v>
      </c>
      <c r="C224" s="35" t="s">
        <v>373</v>
      </c>
      <c r="D224" s="26">
        <v>1</v>
      </c>
      <c r="E224" s="27">
        <v>1.6666666666666666E-2</v>
      </c>
      <c r="F224" s="27">
        <v>1770</v>
      </c>
      <c r="G224" s="27"/>
    </row>
    <row r="225" spans="1:7" x14ac:dyDescent="0.25">
      <c r="A225" s="24" t="str">
        <f t="shared" si="35"/>
        <v xml:space="preserve">Kraniofatsiaalse osteosünteesi resorbeeruvate implantaatide komplekt </v>
      </c>
      <c r="B225" s="35" t="str">
        <f t="shared" si="36"/>
        <v>2644L</v>
      </c>
      <c r="C225" s="35" t="s">
        <v>374</v>
      </c>
      <c r="D225" s="26">
        <v>1</v>
      </c>
      <c r="E225" s="27">
        <v>6.6666666666666666E-2</v>
      </c>
      <c r="F225" s="27">
        <v>180</v>
      </c>
      <c r="G225" s="27"/>
    </row>
    <row r="226" spans="1:7" x14ac:dyDescent="0.25">
      <c r="A226" s="24" t="str">
        <f t="shared" si="35"/>
        <v xml:space="preserve">Kraniofatsiaalse osteosünteesi resorbeeruvate implantaatide komplekt </v>
      </c>
      <c r="B226" s="35" t="str">
        <f t="shared" si="36"/>
        <v>2644L</v>
      </c>
      <c r="C226" s="35" t="s">
        <v>375</v>
      </c>
      <c r="D226" s="26">
        <v>1</v>
      </c>
      <c r="E226" s="27">
        <v>3.3333333333333333E-2</v>
      </c>
      <c r="F226" s="27">
        <v>3234</v>
      </c>
      <c r="G226" s="27"/>
    </row>
    <row r="227" spans="1:7" x14ac:dyDescent="0.25">
      <c r="A227" s="24" t="str">
        <f t="shared" si="35"/>
        <v xml:space="preserve">Kraniofatsiaalse osteosünteesi resorbeeruvate implantaatide komplekt </v>
      </c>
      <c r="B227" s="35" t="str">
        <f t="shared" si="36"/>
        <v>2644L</v>
      </c>
      <c r="C227" s="35" t="s">
        <v>376</v>
      </c>
      <c r="D227" s="26">
        <v>0.1</v>
      </c>
      <c r="E227" s="27">
        <v>1</v>
      </c>
      <c r="F227" s="27">
        <v>354</v>
      </c>
      <c r="G227" s="27"/>
    </row>
    <row r="228" spans="1:7" x14ac:dyDescent="0.25">
      <c r="A228" s="24" t="str">
        <f t="shared" si="35"/>
        <v xml:space="preserve">Kraniofatsiaalse osteosünteesi resorbeeruvate implantaatide komplekt </v>
      </c>
      <c r="B228" s="35" t="str">
        <f t="shared" si="36"/>
        <v>2644L</v>
      </c>
      <c r="C228" s="35" t="s">
        <v>377</v>
      </c>
      <c r="D228" s="26">
        <v>1</v>
      </c>
      <c r="E228" s="27">
        <v>1.6666666666666666E-2</v>
      </c>
      <c r="F228" s="27">
        <v>78</v>
      </c>
      <c r="G228" s="27"/>
    </row>
    <row r="229" spans="1:7" x14ac:dyDescent="0.25">
      <c r="A229" s="24" t="str">
        <f t="shared" si="35"/>
        <v xml:space="preserve">Kraniofatsiaalse osteosünteesi resorbeeruvate implantaatide komplekt </v>
      </c>
      <c r="B229" s="35" t="str">
        <f t="shared" si="36"/>
        <v>2644L</v>
      </c>
      <c r="C229" s="35" t="s">
        <v>378</v>
      </c>
      <c r="D229" s="26">
        <v>1</v>
      </c>
      <c r="E229" s="27">
        <v>1.6666666666666666E-2</v>
      </c>
      <c r="F229" s="27">
        <v>381.59999999999997</v>
      </c>
      <c r="G229" s="27"/>
    </row>
    <row r="230" spans="1:7" x14ac:dyDescent="0.25">
      <c r="A230" s="24" t="str">
        <f t="shared" si="35"/>
        <v xml:space="preserve">Kraniofatsiaalse osteosünteesi resorbeeruvate implantaatide komplekt </v>
      </c>
      <c r="B230" s="35" t="str">
        <f t="shared" si="36"/>
        <v>2644L</v>
      </c>
      <c r="C230" s="35" t="s">
        <v>379</v>
      </c>
      <c r="D230" s="26">
        <v>1</v>
      </c>
      <c r="E230" s="27">
        <v>1.6666666666666666E-2</v>
      </c>
      <c r="F230" s="27">
        <v>273.59999999999997</v>
      </c>
      <c r="G230" s="27"/>
    </row>
    <row r="231" spans="1:7" x14ac:dyDescent="0.25">
      <c r="A231" s="24" t="str">
        <f t="shared" si="35"/>
        <v xml:space="preserve">Kraniofatsiaalse osteosünteesi resorbeeruvate implantaatide komplekt </v>
      </c>
      <c r="B231" s="35" t="str">
        <f t="shared" si="36"/>
        <v>2644L</v>
      </c>
      <c r="C231" s="35" t="s">
        <v>380</v>
      </c>
      <c r="D231" s="26">
        <v>1</v>
      </c>
      <c r="E231" s="27">
        <v>1.6666666666666666E-2</v>
      </c>
      <c r="F231" s="27">
        <v>246</v>
      </c>
      <c r="G231" s="27"/>
    </row>
    <row r="232" spans="1:7" x14ac:dyDescent="0.25">
      <c r="A232" s="24" t="str">
        <f t="shared" si="35"/>
        <v xml:space="preserve">Kraniofatsiaalse osteosünteesi resorbeeruvate implantaatide komplekt </v>
      </c>
      <c r="B232" s="35" t="str">
        <f t="shared" si="36"/>
        <v>2644L</v>
      </c>
      <c r="C232" s="35" t="s">
        <v>381</v>
      </c>
      <c r="D232" s="26">
        <v>1</v>
      </c>
      <c r="E232" s="27">
        <v>1.6666666666666666E-2</v>
      </c>
      <c r="F232" s="27">
        <v>85.2</v>
      </c>
      <c r="G232" s="27"/>
    </row>
    <row r="233" spans="1:7" x14ac:dyDescent="0.25">
      <c r="A233" s="24" t="str">
        <f t="shared" si="35"/>
        <v xml:space="preserve">Kraniofatsiaalse osteosünteesi resorbeeruvate implantaatide komplekt </v>
      </c>
      <c r="B233" s="35" t="str">
        <f t="shared" si="36"/>
        <v>2644L</v>
      </c>
      <c r="C233" s="35" t="s">
        <v>382</v>
      </c>
      <c r="D233" s="26">
        <v>1</v>
      </c>
      <c r="E233" s="27">
        <v>0.2</v>
      </c>
      <c r="F233" s="27">
        <v>118.8</v>
      </c>
      <c r="G233" s="27"/>
    </row>
    <row r="234" spans="1:7" x14ac:dyDescent="0.25">
      <c r="A234" s="24" t="str">
        <f t="shared" si="35"/>
        <v xml:space="preserve">Kraniofatsiaalse osteosünteesi resorbeeruvate implantaatide komplekt </v>
      </c>
      <c r="B234" s="35" t="str">
        <f t="shared" si="36"/>
        <v>2644L</v>
      </c>
      <c r="C234" s="35" t="s">
        <v>383</v>
      </c>
      <c r="D234" s="26">
        <v>1</v>
      </c>
      <c r="E234" s="27">
        <v>0.2</v>
      </c>
      <c r="F234" s="27">
        <v>118.8</v>
      </c>
      <c r="G234" s="27"/>
    </row>
    <row r="235" spans="1:7" x14ac:dyDescent="0.25">
      <c r="A235" s="35" t="s">
        <v>384</v>
      </c>
      <c r="B235" s="35" t="s">
        <v>385</v>
      </c>
      <c r="C235" s="35" t="s">
        <v>384</v>
      </c>
      <c r="D235" s="26">
        <v>1</v>
      </c>
      <c r="E235" s="27">
        <v>1</v>
      </c>
      <c r="F235" s="27">
        <v>2239.79</v>
      </c>
      <c r="G235" s="27">
        <f>F235</f>
        <v>2239.79</v>
      </c>
    </row>
    <row r="236" spans="1:7" x14ac:dyDescent="0.25">
      <c r="A236" s="35" t="s">
        <v>386</v>
      </c>
      <c r="B236" s="35" t="s">
        <v>387</v>
      </c>
      <c r="C236" s="35" t="s">
        <v>386</v>
      </c>
      <c r="D236" s="26">
        <v>1</v>
      </c>
      <c r="E236" s="27">
        <v>1</v>
      </c>
      <c r="F236" s="27">
        <v>372.71</v>
      </c>
      <c r="G236" s="27">
        <v>372.71</v>
      </c>
    </row>
    <row r="237" spans="1:7" ht="23" x14ac:dyDescent="0.25">
      <c r="A237" s="35" t="s">
        <v>388</v>
      </c>
      <c r="B237" s="35" t="s">
        <v>389</v>
      </c>
      <c r="C237" s="35" t="s">
        <v>388</v>
      </c>
      <c r="D237" s="26">
        <v>1</v>
      </c>
      <c r="E237" s="27">
        <v>1</v>
      </c>
      <c r="F237" s="27">
        <v>179.76000000000002</v>
      </c>
      <c r="G237" s="27">
        <f>F237</f>
        <v>179.76000000000002</v>
      </c>
    </row>
    <row r="238" spans="1:7" x14ac:dyDescent="0.25">
      <c r="A238" s="35" t="s">
        <v>390</v>
      </c>
      <c r="B238" s="35" t="s">
        <v>391</v>
      </c>
      <c r="C238" s="35" t="s">
        <v>390</v>
      </c>
      <c r="D238" s="26">
        <v>1</v>
      </c>
      <c r="E238" s="27">
        <v>1</v>
      </c>
      <c r="F238" s="27">
        <v>1088.25</v>
      </c>
      <c r="G238" s="27">
        <f>F238</f>
        <v>1088.25</v>
      </c>
    </row>
    <row r="239" spans="1:7" x14ac:dyDescent="0.25">
      <c r="A239" s="35" t="s">
        <v>392</v>
      </c>
      <c r="B239" s="35" t="s">
        <v>393</v>
      </c>
      <c r="C239" s="35" t="s">
        <v>392</v>
      </c>
      <c r="D239" s="26">
        <v>1</v>
      </c>
      <c r="E239" s="27">
        <v>1</v>
      </c>
      <c r="F239" s="27">
        <v>877.79166666666663</v>
      </c>
      <c r="G239" s="27">
        <f>F239</f>
        <v>877.79166666666663</v>
      </c>
    </row>
    <row r="240" spans="1:7" x14ac:dyDescent="0.25">
      <c r="A240" s="35" t="s">
        <v>394</v>
      </c>
      <c r="B240" s="35" t="s">
        <v>395</v>
      </c>
      <c r="C240" s="35" t="s">
        <v>394</v>
      </c>
      <c r="D240" s="26">
        <v>1</v>
      </c>
      <c r="E240" s="27">
        <v>1</v>
      </c>
      <c r="F240" s="27">
        <v>1189</v>
      </c>
      <c r="G240" s="27">
        <v>1189</v>
      </c>
    </row>
    <row r="241" spans="1:7" x14ac:dyDescent="0.25">
      <c r="A241" s="35" t="s">
        <v>396</v>
      </c>
      <c r="B241" s="35" t="s">
        <v>397</v>
      </c>
      <c r="C241" s="35" t="s">
        <v>396</v>
      </c>
      <c r="D241" s="26">
        <v>1</v>
      </c>
      <c r="E241" s="27">
        <v>1</v>
      </c>
      <c r="F241" s="27">
        <v>2241</v>
      </c>
      <c r="G241" s="27">
        <v>2241</v>
      </c>
    </row>
    <row r="242" spans="1:7" ht="23" x14ac:dyDescent="0.25">
      <c r="A242" s="35" t="s">
        <v>398</v>
      </c>
      <c r="B242" s="35" t="s">
        <v>399</v>
      </c>
      <c r="C242" s="35" t="s">
        <v>398</v>
      </c>
      <c r="D242" s="26">
        <v>1</v>
      </c>
      <c r="E242" s="27">
        <v>1</v>
      </c>
      <c r="F242" s="27">
        <v>8214.9</v>
      </c>
      <c r="G242" s="27">
        <v>8214.9</v>
      </c>
    </row>
    <row r="243" spans="1:7" x14ac:dyDescent="0.25">
      <c r="A243" s="35" t="s">
        <v>400</v>
      </c>
      <c r="B243" s="35" t="s">
        <v>401</v>
      </c>
      <c r="C243" s="35" t="s">
        <v>400</v>
      </c>
      <c r="D243" s="26">
        <v>1</v>
      </c>
      <c r="E243" s="27">
        <v>1</v>
      </c>
      <c r="F243" s="27">
        <v>5186.6000000000004</v>
      </c>
      <c r="G243" s="27">
        <v>5186.6000000000004</v>
      </c>
    </row>
    <row r="244" spans="1:7" x14ac:dyDescent="0.25">
      <c r="A244" s="35" t="s">
        <v>402</v>
      </c>
      <c r="B244" s="35" t="s">
        <v>403</v>
      </c>
      <c r="C244" s="35" t="s">
        <v>402</v>
      </c>
      <c r="D244" s="26">
        <v>1</v>
      </c>
      <c r="E244" s="27">
        <v>1</v>
      </c>
      <c r="F244" s="27">
        <v>4951.3999999999996</v>
      </c>
      <c r="G244" s="27">
        <v>4951.3999999999996</v>
      </c>
    </row>
    <row r="245" spans="1:7" x14ac:dyDescent="0.25">
      <c r="A245" s="35" t="str">
        <f t="shared" ref="A245:B245" si="37">A244</f>
        <v>VVI-tüüpi implanteeritav kardioverter-defibrillaator</v>
      </c>
      <c r="B245" s="35" t="str">
        <f t="shared" si="37"/>
        <v>2528L</v>
      </c>
      <c r="C245" s="35"/>
      <c r="D245" s="26"/>
      <c r="E245" s="27"/>
      <c r="F245" s="27"/>
      <c r="G245" s="27"/>
    </row>
    <row r="246" spans="1:7" x14ac:dyDescent="0.25">
      <c r="A246" s="35" t="s">
        <v>404</v>
      </c>
      <c r="B246" s="35" t="s">
        <v>405</v>
      </c>
      <c r="C246" s="35" t="s">
        <v>404</v>
      </c>
      <c r="D246" s="26">
        <v>1</v>
      </c>
      <c r="E246" s="27">
        <v>1</v>
      </c>
      <c r="F246" s="27">
        <v>2563.6999999999998</v>
      </c>
      <c r="G246" s="27">
        <v>2563.6999999999998</v>
      </c>
    </row>
    <row r="247" spans="1:7" x14ac:dyDescent="0.25">
      <c r="A247" s="35" t="s">
        <v>406</v>
      </c>
      <c r="B247" s="35" t="s">
        <v>407</v>
      </c>
      <c r="C247" s="35" t="s">
        <v>406</v>
      </c>
      <c r="D247" s="26">
        <v>1</v>
      </c>
      <c r="E247" s="27">
        <v>1</v>
      </c>
      <c r="F247" s="27">
        <v>556</v>
      </c>
      <c r="G247" s="27">
        <v>556</v>
      </c>
    </row>
    <row r="248" spans="1:7" x14ac:dyDescent="0.25">
      <c r="A248" s="35" t="s">
        <v>408</v>
      </c>
      <c r="B248" s="35" t="s">
        <v>409</v>
      </c>
      <c r="C248" s="35" t="s">
        <v>408</v>
      </c>
      <c r="D248" s="26">
        <v>1</v>
      </c>
      <c r="E248" s="27">
        <v>1</v>
      </c>
      <c r="F248" s="27">
        <v>384</v>
      </c>
      <c r="G248" s="27">
        <v>384</v>
      </c>
    </row>
    <row r="249" spans="1:7" x14ac:dyDescent="0.25">
      <c r="A249" s="35" t="s">
        <v>410</v>
      </c>
      <c r="B249" s="35" t="s">
        <v>411</v>
      </c>
      <c r="C249" s="35" t="s">
        <v>410</v>
      </c>
      <c r="D249" s="26">
        <v>1</v>
      </c>
      <c r="E249" s="27">
        <v>1</v>
      </c>
      <c r="F249" s="27">
        <v>522</v>
      </c>
      <c r="G249" s="27">
        <v>522</v>
      </c>
    </row>
    <row r="250" spans="1:7" ht="23" x14ac:dyDescent="0.25">
      <c r="A250" s="35" t="s">
        <v>412</v>
      </c>
      <c r="B250" s="35" t="s">
        <v>413</v>
      </c>
      <c r="C250" s="35" t="s">
        <v>412</v>
      </c>
      <c r="D250" s="26">
        <v>1</v>
      </c>
      <c r="E250" s="27">
        <v>1</v>
      </c>
      <c r="F250" s="27">
        <v>576</v>
      </c>
      <c r="G250" s="27">
        <v>576</v>
      </c>
    </row>
    <row r="251" spans="1:7" ht="23" x14ac:dyDescent="0.25">
      <c r="A251" s="35" t="s">
        <v>414</v>
      </c>
      <c r="B251" s="35" t="s">
        <v>415</v>
      </c>
      <c r="C251" s="35" t="s">
        <v>414</v>
      </c>
      <c r="D251" s="26">
        <v>1</v>
      </c>
      <c r="E251" s="27">
        <v>1</v>
      </c>
      <c r="F251" s="27">
        <v>540</v>
      </c>
      <c r="G251" s="27">
        <v>540</v>
      </c>
    </row>
    <row r="252" spans="1:7" x14ac:dyDescent="0.25">
      <c r="A252" s="35" t="s">
        <v>416</v>
      </c>
      <c r="B252" s="35" t="s">
        <v>417</v>
      </c>
      <c r="C252" s="35" t="s">
        <v>416</v>
      </c>
      <c r="D252" s="26">
        <v>1</v>
      </c>
      <c r="E252" s="27">
        <v>1</v>
      </c>
      <c r="F252" s="27">
        <v>1589.74</v>
      </c>
      <c r="G252" s="27">
        <v>1589.74</v>
      </c>
    </row>
    <row r="253" spans="1:7" x14ac:dyDescent="0.25">
      <c r="A253" s="35" t="s">
        <v>418</v>
      </c>
      <c r="B253" s="35" t="s">
        <v>419</v>
      </c>
      <c r="C253" s="35" t="s">
        <v>418</v>
      </c>
      <c r="D253" s="26">
        <v>1</v>
      </c>
      <c r="E253" s="27">
        <v>1</v>
      </c>
      <c r="F253" s="27">
        <v>770.4</v>
      </c>
      <c r="G253" s="27">
        <v>770.4</v>
      </c>
    </row>
    <row r="254" spans="1:7" x14ac:dyDescent="0.25">
      <c r="A254" s="35" t="s">
        <v>420</v>
      </c>
      <c r="B254" s="35" t="s">
        <v>421</v>
      </c>
      <c r="C254" s="35" t="s">
        <v>422</v>
      </c>
      <c r="D254" s="26">
        <v>1</v>
      </c>
      <c r="E254" s="27">
        <v>1</v>
      </c>
      <c r="F254" s="27">
        <v>254.47</v>
      </c>
      <c r="G254" s="27">
        <v>460.27</v>
      </c>
    </row>
    <row r="255" spans="1:7" x14ac:dyDescent="0.25">
      <c r="A255" s="35" t="str">
        <f t="shared" ref="A255:B255" si="38">A254</f>
        <v xml:space="preserve">Bronhide mõõtekomplekt  ja mõõteballoon </v>
      </c>
      <c r="B255" s="35" t="str">
        <f t="shared" si="38"/>
        <v>2972L</v>
      </c>
      <c r="C255" s="35" t="s">
        <v>423</v>
      </c>
      <c r="D255" s="26">
        <v>1</v>
      </c>
      <c r="E255" s="27">
        <v>1</v>
      </c>
      <c r="F255" s="27">
        <v>205.8</v>
      </c>
      <c r="G255" s="27"/>
    </row>
    <row r="256" spans="1:7" ht="46" x14ac:dyDescent="0.25">
      <c r="A256" s="35" t="s">
        <v>424</v>
      </c>
      <c r="B256" s="35" t="s">
        <v>425</v>
      </c>
      <c r="C256" s="35" t="s">
        <v>426</v>
      </c>
      <c r="D256" s="48">
        <v>2</v>
      </c>
      <c r="E256" s="27" t="s">
        <v>427</v>
      </c>
      <c r="F256" s="27">
        <v>5866.07</v>
      </c>
      <c r="G256" s="27">
        <v>5866.07</v>
      </c>
    </row>
    <row r="257" spans="1:7" x14ac:dyDescent="0.25">
      <c r="A257" s="24" t="str">
        <f t="shared" ref="A257:B263" si="39">A256</f>
        <v>Ajuarterite trombektoomia komplekt</v>
      </c>
      <c r="B257" s="35" t="str">
        <f t="shared" si="39"/>
        <v>2969L</v>
      </c>
      <c r="C257" s="35" t="s">
        <v>428</v>
      </c>
      <c r="D257" s="48">
        <v>1</v>
      </c>
      <c r="E257" s="27">
        <v>0.9</v>
      </c>
      <c r="F257" s="27"/>
      <c r="G257" s="49"/>
    </row>
    <row r="258" spans="1:7" ht="46" x14ac:dyDescent="0.25">
      <c r="A258" s="24" t="str">
        <f t="shared" si="39"/>
        <v>Ajuarterite trombektoomia komplekt</v>
      </c>
      <c r="B258" s="35" t="str">
        <f t="shared" si="39"/>
        <v>2969L</v>
      </c>
      <c r="C258" s="35" t="s">
        <v>429</v>
      </c>
      <c r="D258" s="48">
        <v>2</v>
      </c>
      <c r="E258" s="27" t="s">
        <v>430</v>
      </c>
      <c r="F258" s="27"/>
      <c r="G258" s="49"/>
    </row>
    <row r="259" spans="1:7" x14ac:dyDescent="0.25">
      <c r="A259" s="24" t="str">
        <f t="shared" si="39"/>
        <v>Ajuarterite trombektoomia komplekt</v>
      </c>
      <c r="B259" s="35" t="str">
        <f t="shared" si="39"/>
        <v>2969L</v>
      </c>
      <c r="C259" s="35" t="s">
        <v>431</v>
      </c>
      <c r="D259" s="48">
        <v>1</v>
      </c>
      <c r="E259" s="27">
        <v>0.3</v>
      </c>
      <c r="F259" s="27"/>
      <c r="G259" s="49"/>
    </row>
    <row r="260" spans="1:7" x14ac:dyDescent="0.25">
      <c r="A260" s="24" t="str">
        <f t="shared" si="39"/>
        <v>Ajuarterite trombektoomia komplekt</v>
      </c>
      <c r="B260" s="35" t="str">
        <f t="shared" si="39"/>
        <v>2969L</v>
      </c>
      <c r="C260" s="35" t="s">
        <v>432</v>
      </c>
      <c r="D260" s="48" t="s">
        <v>433</v>
      </c>
      <c r="E260" s="27">
        <v>0.7</v>
      </c>
      <c r="F260" s="27"/>
      <c r="G260" s="49"/>
    </row>
    <row r="261" spans="1:7" x14ac:dyDescent="0.25">
      <c r="A261" s="24" t="str">
        <f t="shared" si="39"/>
        <v>Ajuarterite trombektoomia komplekt</v>
      </c>
      <c r="B261" s="35" t="str">
        <f t="shared" si="39"/>
        <v>2969L</v>
      </c>
      <c r="C261" s="35" t="s">
        <v>434</v>
      </c>
      <c r="D261" s="48" t="s">
        <v>433</v>
      </c>
      <c r="E261" s="27">
        <v>0.2</v>
      </c>
      <c r="F261" s="27"/>
      <c r="G261" s="49"/>
    </row>
    <row r="262" spans="1:7" ht="34.5" x14ac:dyDescent="0.25">
      <c r="A262" s="24" t="str">
        <f t="shared" si="39"/>
        <v>Ajuarterite trombektoomia komplekt</v>
      </c>
      <c r="B262" s="35" t="str">
        <f t="shared" si="39"/>
        <v>2969L</v>
      </c>
      <c r="C262" s="35" t="s">
        <v>435</v>
      </c>
      <c r="D262" s="48" t="s">
        <v>436</v>
      </c>
      <c r="E262" s="27" t="s">
        <v>437</v>
      </c>
      <c r="F262" s="27"/>
      <c r="G262" s="49"/>
    </row>
    <row r="263" spans="1:7" ht="46" x14ac:dyDescent="0.25">
      <c r="A263" s="24" t="str">
        <f t="shared" si="39"/>
        <v>Ajuarterite trombektoomia komplekt</v>
      </c>
      <c r="B263" s="35" t="str">
        <f t="shared" si="39"/>
        <v>2969L</v>
      </c>
      <c r="C263" s="35" t="s">
        <v>438</v>
      </c>
      <c r="D263" s="48" t="s">
        <v>436</v>
      </c>
      <c r="E263" s="27" t="s">
        <v>439</v>
      </c>
      <c r="F263" s="27"/>
      <c r="G263" s="49"/>
    </row>
    <row r="264" spans="1:7" x14ac:dyDescent="0.25">
      <c r="A264" s="24" t="s">
        <v>440</v>
      </c>
      <c r="B264" s="35" t="s">
        <v>441</v>
      </c>
      <c r="C264" s="24" t="s">
        <v>440</v>
      </c>
      <c r="D264" s="24">
        <v>1</v>
      </c>
      <c r="E264" s="27">
        <v>1</v>
      </c>
      <c r="F264" s="24">
        <v>746.65</v>
      </c>
      <c r="G264" s="24">
        <v>746.65</v>
      </c>
    </row>
    <row r="265" spans="1:7" x14ac:dyDescent="0.25">
      <c r="A265" s="24" t="s">
        <v>442</v>
      </c>
      <c r="B265" s="35" t="s">
        <v>443</v>
      </c>
      <c r="C265" s="24" t="s">
        <v>442</v>
      </c>
      <c r="D265" s="24">
        <v>1</v>
      </c>
      <c r="E265" s="27">
        <v>1</v>
      </c>
      <c r="F265" s="24">
        <v>708.5</v>
      </c>
      <c r="G265" s="24">
        <v>708.5</v>
      </c>
    </row>
    <row r="266" spans="1:7" x14ac:dyDescent="0.25">
      <c r="A266" s="24" t="s">
        <v>444</v>
      </c>
      <c r="B266" s="35" t="s">
        <v>445</v>
      </c>
      <c r="C266" s="24" t="s">
        <v>444</v>
      </c>
      <c r="D266" s="24">
        <v>1</v>
      </c>
      <c r="E266" s="27">
        <v>1</v>
      </c>
      <c r="F266" s="24">
        <v>419.82</v>
      </c>
      <c r="G266" s="24">
        <v>419.82</v>
      </c>
    </row>
    <row r="267" spans="1:7" x14ac:dyDescent="0.25">
      <c r="A267" s="24" t="s">
        <v>446</v>
      </c>
      <c r="B267" s="35" t="s">
        <v>447</v>
      </c>
      <c r="C267" s="24" t="s">
        <v>446</v>
      </c>
      <c r="D267" s="24">
        <v>1</v>
      </c>
      <c r="E267" s="27">
        <v>1</v>
      </c>
      <c r="F267" s="24">
        <v>690</v>
      </c>
      <c r="G267" s="24">
        <v>690</v>
      </c>
    </row>
    <row r="268" spans="1:7" x14ac:dyDescent="0.25">
      <c r="A268" s="24" t="s">
        <v>448</v>
      </c>
      <c r="B268" s="35" t="s">
        <v>449</v>
      </c>
      <c r="C268" s="24" t="s">
        <v>448</v>
      </c>
      <c r="D268" s="24">
        <v>1</v>
      </c>
      <c r="E268" s="27">
        <v>1</v>
      </c>
      <c r="F268" s="24">
        <v>650</v>
      </c>
      <c r="G268" s="24">
        <v>650</v>
      </c>
    </row>
    <row r="269" spans="1:7" x14ac:dyDescent="0.25">
      <c r="A269" s="24" t="s">
        <v>450</v>
      </c>
      <c r="B269" s="35" t="s">
        <v>451</v>
      </c>
      <c r="C269" s="24" t="s">
        <v>452</v>
      </c>
      <c r="D269" s="24">
        <v>1</v>
      </c>
      <c r="E269" s="27">
        <v>1</v>
      </c>
      <c r="F269" s="24">
        <v>700</v>
      </c>
      <c r="G269" s="24">
        <v>700</v>
      </c>
    </row>
    <row r="270" spans="1:7" x14ac:dyDescent="0.25">
      <c r="A270" s="24" t="s">
        <v>453</v>
      </c>
      <c r="B270" s="35" t="s">
        <v>454</v>
      </c>
      <c r="C270" s="24" t="s">
        <v>455</v>
      </c>
      <c r="D270" s="26">
        <v>2</v>
      </c>
      <c r="E270" s="27">
        <v>0.2</v>
      </c>
      <c r="F270" s="24">
        <f>225*1.2</f>
        <v>270</v>
      </c>
      <c r="G270" s="27">
        <v>431.52</v>
      </c>
    </row>
    <row r="271" spans="1:7" x14ac:dyDescent="0.25">
      <c r="A271" s="24" t="str">
        <f t="shared" ref="A271:B273" si="40">A270</f>
        <v>Lahastamise komplekt näo- ja lõualuukirurgias</v>
      </c>
      <c r="B271" s="35" t="str">
        <f t="shared" si="40"/>
        <v>2929L</v>
      </c>
      <c r="C271" s="24" t="s">
        <v>456</v>
      </c>
      <c r="D271" s="24">
        <v>12</v>
      </c>
      <c r="E271" s="27">
        <v>0.2</v>
      </c>
      <c r="F271" s="24">
        <f>36*1.2</f>
        <v>43.199999999999996</v>
      </c>
      <c r="G271" s="27"/>
    </row>
    <row r="272" spans="1:7" x14ac:dyDescent="0.25">
      <c r="A272" s="24" t="str">
        <f t="shared" si="40"/>
        <v>Lahastamise komplekt näo- ja lõualuukirurgias</v>
      </c>
      <c r="B272" s="35" t="str">
        <f t="shared" si="40"/>
        <v>2929L</v>
      </c>
      <c r="C272" s="24" t="s">
        <v>457</v>
      </c>
      <c r="D272" s="26">
        <v>2</v>
      </c>
      <c r="E272" s="27">
        <v>0.2</v>
      </c>
      <c r="F272" s="24">
        <f>58*1.2</f>
        <v>69.599999999999994</v>
      </c>
      <c r="G272" s="27"/>
    </row>
    <row r="273" spans="1:8" x14ac:dyDescent="0.25">
      <c r="A273" s="24" t="str">
        <f t="shared" si="40"/>
        <v>Lahastamise komplekt näo- ja lõualuukirurgias</v>
      </c>
      <c r="B273" s="35" t="str">
        <f t="shared" si="40"/>
        <v>2929L</v>
      </c>
      <c r="C273" s="24" t="s">
        <v>458</v>
      </c>
      <c r="D273" s="50">
        <v>1</v>
      </c>
      <c r="E273" s="27">
        <v>0.8</v>
      </c>
      <c r="F273" s="24">
        <v>240</v>
      </c>
      <c r="G273" s="27"/>
    </row>
    <row r="274" spans="1:8" x14ac:dyDescent="0.25">
      <c r="A274" s="24" t="s">
        <v>459</v>
      </c>
      <c r="B274" s="24" t="s">
        <v>460</v>
      </c>
      <c r="C274" s="24" t="s">
        <v>461</v>
      </c>
      <c r="D274" s="26">
        <v>1</v>
      </c>
      <c r="E274" s="27">
        <v>1</v>
      </c>
      <c r="F274" s="24">
        <v>18720</v>
      </c>
      <c r="G274" s="24">
        <f>F274+F275</f>
        <v>22690</v>
      </c>
    </row>
    <row r="275" spans="1:8" x14ac:dyDescent="0.25">
      <c r="A275" s="24" t="str">
        <f t="shared" ref="A275:B275" si="41">A274</f>
        <v>Uitnärvi stimulaatori komplekt mahuga 8 cm3</v>
      </c>
      <c r="B275" s="24" t="str">
        <f t="shared" si="41"/>
        <v>2732L</v>
      </c>
      <c r="C275" s="24" t="s">
        <v>462</v>
      </c>
      <c r="D275" s="26">
        <v>1</v>
      </c>
      <c r="E275" s="27">
        <v>1</v>
      </c>
      <c r="F275" s="24">
        <v>3970</v>
      </c>
      <c r="G275" s="24"/>
      <c r="H275" s="6"/>
    </row>
    <row r="276" spans="1:8" x14ac:dyDescent="0.25">
      <c r="A276" s="24" t="s">
        <v>463</v>
      </c>
      <c r="B276" s="24" t="s">
        <v>464</v>
      </c>
      <c r="C276" s="24" t="s">
        <v>465</v>
      </c>
      <c r="D276" s="26">
        <v>1</v>
      </c>
      <c r="E276" s="27">
        <v>1</v>
      </c>
      <c r="F276" s="24">
        <v>28440</v>
      </c>
      <c r="G276" s="24">
        <v>28440</v>
      </c>
    </row>
    <row r="277" spans="1:8" x14ac:dyDescent="0.25">
      <c r="A277" s="24" t="str">
        <f t="shared" ref="A277:B277" si="42">A276</f>
        <v>Uitnärvi stimulaatori komplekt mahuga 14 cm3</v>
      </c>
      <c r="B277" s="35" t="str">
        <f t="shared" si="42"/>
        <v>2733L</v>
      </c>
      <c r="C277" s="24" t="s">
        <v>462</v>
      </c>
      <c r="D277" s="26">
        <v>1</v>
      </c>
      <c r="E277" s="27">
        <v>1</v>
      </c>
      <c r="F277" s="24"/>
      <c r="G277" s="27"/>
    </row>
    <row r="278" spans="1:8" x14ac:dyDescent="0.25">
      <c r="A278" s="24" t="s">
        <v>466</v>
      </c>
      <c r="B278" s="24" t="s">
        <v>467</v>
      </c>
      <c r="C278" s="24" t="s">
        <v>466</v>
      </c>
      <c r="D278" s="24">
        <v>1</v>
      </c>
      <c r="E278" s="27">
        <v>1</v>
      </c>
      <c r="F278" s="24">
        <v>114.77</v>
      </c>
      <c r="G278" s="24">
        <f>F278</f>
        <v>114.77</v>
      </c>
    </row>
    <row r="279" spans="1:8" x14ac:dyDescent="0.25">
      <c r="A279" s="24" t="s">
        <v>468</v>
      </c>
      <c r="B279" s="35" t="s">
        <v>469</v>
      </c>
      <c r="C279" s="35" t="s">
        <v>470</v>
      </c>
      <c r="D279" s="51"/>
      <c r="E279" s="27"/>
      <c r="F279" s="27"/>
      <c r="G279" s="27">
        <v>15260</v>
      </c>
    </row>
    <row r="280" spans="1:8" x14ac:dyDescent="0.25">
      <c r="A280" s="24" t="str">
        <f t="shared" ref="A280:B286" si="43">A279</f>
        <v>Alalõualuuliigese totaalne uniltareraalne endoprotees</v>
      </c>
      <c r="B280" s="35" t="str">
        <f t="shared" si="43"/>
        <v>2680L</v>
      </c>
      <c r="C280" s="35" t="s">
        <v>471</v>
      </c>
      <c r="D280" s="51"/>
      <c r="E280" s="27"/>
      <c r="F280" s="27"/>
      <c r="G280" s="27"/>
    </row>
    <row r="281" spans="1:8" x14ac:dyDescent="0.25">
      <c r="A281" s="24" t="str">
        <f t="shared" si="43"/>
        <v>Alalõualuuliigese totaalne uniltareraalne endoprotees</v>
      </c>
      <c r="B281" s="35" t="str">
        <f t="shared" si="43"/>
        <v>2680L</v>
      </c>
      <c r="C281" s="35" t="s">
        <v>472</v>
      </c>
      <c r="D281" s="26"/>
      <c r="E281" s="27"/>
      <c r="F281" s="27"/>
      <c r="G281" s="27"/>
    </row>
    <row r="282" spans="1:8" x14ac:dyDescent="0.25">
      <c r="A282" s="24" t="str">
        <f t="shared" si="43"/>
        <v>Alalõualuuliigese totaalne uniltareraalne endoprotees</v>
      </c>
      <c r="B282" s="35" t="str">
        <f t="shared" si="43"/>
        <v>2680L</v>
      </c>
      <c r="C282" s="35" t="s">
        <v>473</v>
      </c>
      <c r="D282" s="26"/>
      <c r="E282" s="27"/>
      <c r="F282" s="27"/>
      <c r="G282" s="27"/>
    </row>
    <row r="283" spans="1:8" x14ac:dyDescent="0.25">
      <c r="A283" s="24" t="str">
        <f t="shared" si="43"/>
        <v>Alalõualuuliigese totaalne uniltareraalne endoprotees</v>
      </c>
      <c r="B283" s="35" t="str">
        <f t="shared" si="43"/>
        <v>2680L</v>
      </c>
      <c r="C283" s="35" t="s">
        <v>474</v>
      </c>
      <c r="D283" s="26"/>
      <c r="E283" s="27"/>
      <c r="F283" s="27"/>
      <c r="G283" s="27"/>
    </row>
    <row r="284" spans="1:8" x14ac:dyDescent="0.25">
      <c r="A284" s="24" t="str">
        <f t="shared" si="43"/>
        <v>Alalõualuuliigese totaalne uniltareraalne endoprotees</v>
      </c>
      <c r="B284" s="35" t="str">
        <f t="shared" si="43"/>
        <v>2680L</v>
      </c>
      <c r="C284" s="35" t="s">
        <v>475</v>
      </c>
      <c r="D284" s="26"/>
      <c r="E284" s="27"/>
      <c r="F284" s="27"/>
      <c r="G284" s="27"/>
    </row>
    <row r="285" spans="1:8" x14ac:dyDescent="0.25">
      <c r="A285" s="24" t="str">
        <f t="shared" si="43"/>
        <v>Alalõualuuliigese totaalne uniltareraalne endoprotees</v>
      </c>
      <c r="B285" s="35" t="str">
        <f t="shared" si="43"/>
        <v>2680L</v>
      </c>
      <c r="C285" s="35" t="s">
        <v>476</v>
      </c>
      <c r="D285" s="26"/>
      <c r="E285" s="27"/>
      <c r="F285" s="27"/>
      <c r="G285" s="27"/>
    </row>
    <row r="286" spans="1:8" x14ac:dyDescent="0.25">
      <c r="A286" s="24" t="str">
        <f t="shared" si="43"/>
        <v>Alalõualuuliigese totaalne uniltareraalne endoprotees</v>
      </c>
      <c r="B286" s="35" t="str">
        <f t="shared" si="43"/>
        <v>2680L</v>
      </c>
      <c r="C286" s="35" t="s">
        <v>477</v>
      </c>
      <c r="D286" s="26"/>
      <c r="E286" s="27"/>
      <c r="F286" s="27"/>
      <c r="G286" s="27"/>
    </row>
    <row r="287" spans="1:8" x14ac:dyDescent="0.25">
      <c r="A287" s="24" t="s">
        <v>478</v>
      </c>
      <c r="B287" s="35" t="s">
        <v>479</v>
      </c>
      <c r="C287" s="35" t="s">
        <v>470</v>
      </c>
      <c r="D287" s="51"/>
      <c r="E287" s="27"/>
      <c r="F287" s="27"/>
      <c r="G287" s="27">
        <v>28340</v>
      </c>
    </row>
    <row r="288" spans="1:8" x14ac:dyDescent="0.25">
      <c r="A288" s="24" t="str">
        <f t="shared" ref="A288:B294" si="44">A287</f>
        <v>Alalõualuuliigese totaalne biltareraalne endoprotees</v>
      </c>
      <c r="B288" s="35" t="str">
        <f t="shared" si="44"/>
        <v>2681L</v>
      </c>
      <c r="C288" s="35" t="s">
        <v>471</v>
      </c>
      <c r="D288" s="51"/>
      <c r="E288" s="27"/>
      <c r="F288" s="27"/>
      <c r="G288" s="27"/>
    </row>
    <row r="289" spans="1:7" x14ac:dyDescent="0.25">
      <c r="A289" s="24" t="str">
        <f t="shared" si="44"/>
        <v>Alalõualuuliigese totaalne biltareraalne endoprotees</v>
      </c>
      <c r="B289" s="35" t="str">
        <f t="shared" si="44"/>
        <v>2681L</v>
      </c>
      <c r="C289" s="35" t="s">
        <v>472</v>
      </c>
      <c r="D289" s="26"/>
      <c r="E289" s="27"/>
      <c r="F289" s="27"/>
      <c r="G289" s="27"/>
    </row>
    <row r="290" spans="1:7" x14ac:dyDescent="0.25">
      <c r="A290" s="24" t="str">
        <f t="shared" si="44"/>
        <v>Alalõualuuliigese totaalne biltareraalne endoprotees</v>
      </c>
      <c r="B290" s="35" t="str">
        <f t="shared" si="44"/>
        <v>2681L</v>
      </c>
      <c r="C290" s="35" t="s">
        <v>473</v>
      </c>
      <c r="D290" s="26"/>
      <c r="E290" s="27"/>
      <c r="F290" s="27"/>
      <c r="G290" s="27"/>
    </row>
    <row r="291" spans="1:7" x14ac:dyDescent="0.25">
      <c r="A291" s="24" t="str">
        <f t="shared" si="44"/>
        <v>Alalõualuuliigese totaalne biltareraalne endoprotees</v>
      </c>
      <c r="B291" s="35" t="str">
        <f t="shared" si="44"/>
        <v>2681L</v>
      </c>
      <c r="C291" s="35" t="s">
        <v>474</v>
      </c>
      <c r="D291" s="26"/>
      <c r="E291" s="27"/>
      <c r="F291" s="27"/>
      <c r="G291" s="27"/>
    </row>
    <row r="292" spans="1:7" x14ac:dyDescent="0.25">
      <c r="A292" s="24" t="str">
        <f t="shared" si="44"/>
        <v>Alalõualuuliigese totaalne biltareraalne endoprotees</v>
      </c>
      <c r="B292" s="35" t="str">
        <f t="shared" si="44"/>
        <v>2681L</v>
      </c>
      <c r="C292" s="35" t="s">
        <v>475</v>
      </c>
      <c r="D292" s="26"/>
      <c r="E292" s="27"/>
      <c r="F292" s="27"/>
      <c r="G292" s="27"/>
    </row>
    <row r="293" spans="1:7" x14ac:dyDescent="0.25">
      <c r="A293" s="24" t="str">
        <f t="shared" si="44"/>
        <v>Alalõualuuliigese totaalne biltareraalne endoprotees</v>
      </c>
      <c r="B293" s="35" t="str">
        <f t="shared" si="44"/>
        <v>2681L</v>
      </c>
      <c r="C293" s="35" t="s">
        <v>476</v>
      </c>
      <c r="D293" s="26"/>
      <c r="E293" s="27"/>
      <c r="F293" s="27"/>
      <c r="G293" s="27"/>
    </row>
    <row r="294" spans="1:7" x14ac:dyDescent="0.25">
      <c r="A294" s="24" t="str">
        <f t="shared" si="44"/>
        <v>Alalõualuuliigese totaalne biltareraalne endoprotees</v>
      </c>
      <c r="B294" s="35" t="str">
        <f t="shared" si="44"/>
        <v>2681L</v>
      </c>
      <c r="C294" s="35" t="s">
        <v>477</v>
      </c>
      <c r="D294" s="26"/>
      <c r="E294" s="27"/>
      <c r="F294" s="27"/>
      <c r="G294" s="27"/>
    </row>
    <row r="295" spans="1:7" x14ac:dyDescent="0.25">
      <c r="A295" s="24" t="s">
        <v>480</v>
      </c>
      <c r="B295" s="35" t="s">
        <v>481</v>
      </c>
      <c r="C295" s="24" t="s">
        <v>480</v>
      </c>
      <c r="D295" s="24">
        <v>1</v>
      </c>
      <c r="E295" s="27">
        <v>1</v>
      </c>
      <c r="F295" s="51">
        <v>348.5</v>
      </c>
      <c r="G295" s="51">
        <v>348.5</v>
      </c>
    </row>
    <row r="296" spans="1:7" x14ac:dyDescent="0.25">
      <c r="A296" s="24" t="s">
        <v>482</v>
      </c>
      <c r="B296" s="35" t="s">
        <v>483</v>
      </c>
      <c r="C296" s="24" t="s">
        <v>482</v>
      </c>
      <c r="D296" s="24">
        <v>1</v>
      </c>
      <c r="E296" s="27">
        <v>1</v>
      </c>
      <c r="F296" s="24">
        <v>745.51</v>
      </c>
      <c r="G296" s="24">
        <v>745.51</v>
      </c>
    </row>
    <row r="297" spans="1:7" x14ac:dyDescent="0.25">
      <c r="A297" s="24" t="s">
        <v>484</v>
      </c>
      <c r="B297" s="35" t="s">
        <v>485</v>
      </c>
      <c r="C297" s="24" t="s">
        <v>484</v>
      </c>
      <c r="D297" s="24">
        <v>1</v>
      </c>
      <c r="E297" s="27">
        <v>1</v>
      </c>
      <c r="F297" s="51">
        <v>1008</v>
      </c>
      <c r="G297" s="51">
        <v>1008</v>
      </c>
    </row>
    <row r="298" spans="1:7" x14ac:dyDescent="0.25">
      <c r="A298" s="24" t="s">
        <v>486</v>
      </c>
      <c r="B298" s="35" t="s">
        <v>487</v>
      </c>
      <c r="C298" s="24" t="s">
        <v>486</v>
      </c>
      <c r="D298" s="24">
        <v>1</v>
      </c>
      <c r="E298" s="27">
        <v>1</v>
      </c>
      <c r="F298" s="51">
        <v>1790.09</v>
      </c>
      <c r="G298" s="51">
        <v>1790.09</v>
      </c>
    </row>
    <row r="299" spans="1:7" x14ac:dyDescent="0.25">
      <c r="A299" s="24" t="s">
        <v>488</v>
      </c>
      <c r="B299" s="35" t="s">
        <v>489</v>
      </c>
      <c r="C299" s="24" t="s">
        <v>488</v>
      </c>
      <c r="D299" s="24">
        <v>1</v>
      </c>
      <c r="E299" s="27">
        <v>1</v>
      </c>
      <c r="F299" s="51">
        <v>510</v>
      </c>
      <c r="G299" s="51">
        <v>510</v>
      </c>
    </row>
    <row r="300" spans="1:7" x14ac:dyDescent="0.25">
      <c r="A300" s="24" t="s">
        <v>490</v>
      </c>
      <c r="B300" s="35" t="s">
        <v>491</v>
      </c>
      <c r="C300" s="24" t="s">
        <v>490</v>
      </c>
      <c r="D300" s="24">
        <v>1</v>
      </c>
      <c r="E300" s="27">
        <v>1</v>
      </c>
      <c r="F300" s="51">
        <v>1470.41</v>
      </c>
      <c r="G300" s="51">
        <v>1470.41</v>
      </c>
    </row>
    <row r="301" spans="1:7" x14ac:dyDescent="0.25">
      <c r="A301" s="24" t="s">
        <v>492</v>
      </c>
      <c r="B301" s="35" t="s">
        <v>493</v>
      </c>
      <c r="C301" s="24" t="s">
        <v>492</v>
      </c>
      <c r="D301" s="24">
        <v>1</v>
      </c>
      <c r="E301" s="27">
        <v>1</v>
      </c>
      <c r="F301" s="51">
        <v>2868.23</v>
      </c>
      <c r="G301" s="51">
        <v>2868.23</v>
      </c>
    </row>
    <row r="302" spans="1:7" x14ac:dyDescent="0.25">
      <c r="A302" s="24" t="s">
        <v>494</v>
      </c>
      <c r="B302" s="35" t="s">
        <v>495</v>
      </c>
      <c r="C302" s="24" t="s">
        <v>494</v>
      </c>
      <c r="D302" s="24">
        <v>1</v>
      </c>
      <c r="E302" s="27">
        <v>1</v>
      </c>
      <c r="F302" s="51">
        <v>510</v>
      </c>
      <c r="G302" s="51">
        <v>510</v>
      </c>
    </row>
    <row r="303" spans="1:7" x14ac:dyDescent="0.25">
      <c r="A303" s="24" t="s">
        <v>496</v>
      </c>
      <c r="B303" s="35" t="s">
        <v>497</v>
      </c>
      <c r="C303" s="24" t="s">
        <v>496</v>
      </c>
      <c r="D303" s="24">
        <v>1</v>
      </c>
      <c r="E303" s="27">
        <v>1</v>
      </c>
      <c r="F303" s="51">
        <v>669.6</v>
      </c>
      <c r="G303" s="51">
        <v>669.6</v>
      </c>
    </row>
    <row r="304" spans="1:7" x14ac:dyDescent="0.25">
      <c r="A304" s="24" t="s">
        <v>498</v>
      </c>
      <c r="B304" s="35" t="s">
        <v>499</v>
      </c>
      <c r="C304" s="24" t="s">
        <v>498</v>
      </c>
      <c r="D304" s="24">
        <v>1</v>
      </c>
      <c r="E304" s="27">
        <v>1</v>
      </c>
      <c r="F304" s="51">
        <v>1500</v>
      </c>
      <c r="G304" s="51">
        <v>1500</v>
      </c>
    </row>
    <row r="305" spans="1:7" x14ac:dyDescent="0.25">
      <c r="A305" s="24" t="s">
        <v>500</v>
      </c>
      <c r="B305" s="35" t="s">
        <v>501</v>
      </c>
      <c r="C305" s="24" t="s">
        <v>500</v>
      </c>
      <c r="D305" s="24">
        <v>1</v>
      </c>
      <c r="E305" s="27">
        <v>1</v>
      </c>
      <c r="F305" s="51">
        <v>1500</v>
      </c>
      <c r="G305" s="51">
        <v>1500</v>
      </c>
    </row>
    <row r="306" spans="1:7" x14ac:dyDescent="0.25">
      <c r="A306" s="24" t="s">
        <v>502</v>
      </c>
      <c r="B306" s="35" t="s">
        <v>503</v>
      </c>
      <c r="C306" s="24" t="s">
        <v>502</v>
      </c>
      <c r="D306" s="24">
        <v>1</v>
      </c>
      <c r="E306" s="27">
        <v>1</v>
      </c>
      <c r="F306" s="51">
        <v>2990</v>
      </c>
      <c r="G306" s="51">
        <v>2990</v>
      </c>
    </row>
    <row r="307" spans="1:7" x14ac:dyDescent="0.25">
      <c r="A307" s="24" t="s">
        <v>504</v>
      </c>
      <c r="B307" s="35" t="s">
        <v>505</v>
      </c>
      <c r="C307" s="24" t="s">
        <v>504</v>
      </c>
      <c r="D307" s="24">
        <v>1</v>
      </c>
      <c r="E307" s="27">
        <v>1</v>
      </c>
      <c r="F307" s="51">
        <v>28000</v>
      </c>
      <c r="G307" s="51">
        <v>28000</v>
      </c>
    </row>
    <row r="308" spans="1:7" x14ac:dyDescent="0.25">
      <c r="A308" s="24" t="s">
        <v>506</v>
      </c>
      <c r="B308" s="35" t="s">
        <v>507</v>
      </c>
      <c r="C308" s="24" t="s">
        <v>506</v>
      </c>
      <c r="D308" s="24">
        <v>1</v>
      </c>
      <c r="E308" s="27">
        <v>1</v>
      </c>
      <c r="F308" s="51">
        <v>7000</v>
      </c>
      <c r="G308" s="51">
        <v>7000</v>
      </c>
    </row>
    <row r="309" spans="1:7" x14ac:dyDescent="0.25">
      <c r="A309" s="24" t="s">
        <v>508</v>
      </c>
      <c r="B309" s="35" t="s">
        <v>509</v>
      </c>
      <c r="C309" s="24" t="s">
        <v>508</v>
      </c>
      <c r="D309" s="24">
        <v>1</v>
      </c>
      <c r="E309" s="27">
        <v>1</v>
      </c>
      <c r="F309" s="51">
        <v>392.06</v>
      </c>
      <c r="G309" s="51">
        <v>392.06</v>
      </c>
    </row>
    <row r="310" spans="1:7" x14ac:dyDescent="0.25">
      <c r="A310" s="24" t="s">
        <v>510</v>
      </c>
      <c r="B310" s="35" t="s">
        <v>511</v>
      </c>
      <c r="C310" s="24" t="s">
        <v>510</v>
      </c>
      <c r="D310" s="24">
        <v>1</v>
      </c>
      <c r="E310" s="27">
        <v>1</v>
      </c>
      <c r="F310" s="51">
        <v>47.64</v>
      </c>
      <c r="G310" s="51">
        <v>47.64</v>
      </c>
    </row>
    <row r="311" spans="1:7" x14ac:dyDescent="0.25">
      <c r="A311" s="24" t="s">
        <v>512</v>
      </c>
      <c r="B311" s="35" t="s">
        <v>513</v>
      </c>
      <c r="C311" s="24" t="s">
        <v>512</v>
      </c>
      <c r="D311" s="24">
        <v>1</v>
      </c>
      <c r="E311" s="27">
        <v>1</v>
      </c>
      <c r="F311" s="51">
        <v>1762</v>
      </c>
      <c r="G311" s="51">
        <v>1762</v>
      </c>
    </row>
    <row r="312" spans="1:7" x14ac:dyDescent="0.25">
      <c r="A312" s="24" t="s">
        <v>514</v>
      </c>
      <c r="B312" s="35" t="s">
        <v>515</v>
      </c>
      <c r="C312" s="24" t="s">
        <v>514</v>
      </c>
      <c r="D312" s="24">
        <v>1</v>
      </c>
      <c r="E312" s="27">
        <v>1</v>
      </c>
      <c r="F312" s="51">
        <v>536</v>
      </c>
      <c r="G312" s="51">
        <v>536</v>
      </c>
    </row>
    <row r="313" spans="1:7" x14ac:dyDescent="0.25">
      <c r="A313" s="24" t="s">
        <v>516</v>
      </c>
      <c r="B313" s="35" t="s">
        <v>517</v>
      </c>
      <c r="C313" s="24" t="s">
        <v>516</v>
      </c>
      <c r="D313" s="24">
        <v>1</v>
      </c>
      <c r="E313" s="27">
        <v>1</v>
      </c>
      <c r="F313" s="51">
        <v>441.83</v>
      </c>
      <c r="G313" s="51">
        <v>441.83</v>
      </c>
    </row>
    <row r="314" spans="1:7" x14ac:dyDescent="0.25">
      <c r="A314" s="24" t="s">
        <v>518</v>
      </c>
      <c r="B314" s="35" t="s">
        <v>519</v>
      </c>
      <c r="C314" s="24" t="s">
        <v>518</v>
      </c>
      <c r="D314" s="24">
        <v>1</v>
      </c>
      <c r="E314" s="27">
        <v>1</v>
      </c>
      <c r="F314" s="51">
        <v>218.5</v>
      </c>
      <c r="G314" s="51">
        <v>218.5</v>
      </c>
    </row>
    <row r="315" spans="1:7" x14ac:dyDescent="0.25">
      <c r="A315" s="52" t="s">
        <v>520</v>
      </c>
      <c r="B315" s="52" t="s">
        <v>521</v>
      </c>
      <c r="C315" s="24" t="s">
        <v>522</v>
      </c>
      <c r="D315" s="24">
        <v>1</v>
      </c>
      <c r="E315" s="27">
        <v>0.1875</v>
      </c>
      <c r="F315" s="51">
        <v>244.61</v>
      </c>
      <c r="G315" s="51">
        <v>564.03</v>
      </c>
    </row>
    <row r="316" spans="1:7" x14ac:dyDescent="0.25">
      <c r="A316" s="52" t="s">
        <v>520</v>
      </c>
      <c r="B316" s="52" t="s">
        <v>521</v>
      </c>
      <c r="C316" s="24" t="s">
        <v>523</v>
      </c>
      <c r="D316" s="24">
        <v>1</v>
      </c>
      <c r="E316" s="27">
        <v>0.09</v>
      </c>
      <c r="F316" s="51">
        <v>557.17999999999995</v>
      </c>
      <c r="G316" s="51"/>
    </row>
    <row r="317" spans="1:7" x14ac:dyDescent="0.25">
      <c r="A317" s="52" t="s">
        <v>520</v>
      </c>
      <c r="B317" s="52" t="s">
        <v>521</v>
      </c>
      <c r="C317" s="24" t="s">
        <v>524</v>
      </c>
      <c r="D317" s="24">
        <v>1</v>
      </c>
      <c r="E317" s="27">
        <v>0.06</v>
      </c>
      <c r="F317" s="51">
        <v>438.55</v>
      </c>
      <c r="G317" s="51"/>
    </row>
    <row r="318" spans="1:7" x14ac:dyDescent="0.25">
      <c r="A318" s="52" t="s">
        <v>520</v>
      </c>
      <c r="B318" s="52" t="s">
        <v>521</v>
      </c>
      <c r="C318" s="24" t="s">
        <v>525</v>
      </c>
      <c r="D318" s="24">
        <v>1</v>
      </c>
      <c r="E318" s="27">
        <v>1.7391304347826087E-2</v>
      </c>
      <c r="F318" s="51">
        <v>471.44</v>
      </c>
      <c r="G318" s="51"/>
    </row>
    <row r="319" spans="1:7" x14ac:dyDescent="0.25">
      <c r="A319" s="52" t="s">
        <v>520</v>
      </c>
      <c r="B319" s="52" t="s">
        <v>521</v>
      </c>
      <c r="C319" s="24" t="s">
        <v>526</v>
      </c>
      <c r="D319" s="24">
        <v>1</v>
      </c>
      <c r="E319" s="27">
        <v>6.0869565217391314E-2</v>
      </c>
      <c r="F319" s="51">
        <v>556.79</v>
      </c>
      <c r="G319" s="51"/>
    </row>
    <row r="320" spans="1:7" x14ac:dyDescent="0.25">
      <c r="A320" s="52" t="s">
        <v>520</v>
      </c>
      <c r="B320" s="52" t="s">
        <v>521</v>
      </c>
      <c r="C320" s="24" t="s">
        <v>527</v>
      </c>
      <c r="D320" s="24">
        <v>1</v>
      </c>
      <c r="E320" s="27">
        <v>0</v>
      </c>
      <c r="F320" s="51">
        <v>232</v>
      </c>
      <c r="G320" s="51"/>
    </row>
    <row r="321" spans="1:8" x14ac:dyDescent="0.25">
      <c r="A321" s="52" t="s">
        <v>520</v>
      </c>
      <c r="B321" s="52" t="s">
        <v>521</v>
      </c>
      <c r="C321" s="24" t="s">
        <v>528</v>
      </c>
      <c r="D321" s="24">
        <v>1</v>
      </c>
      <c r="E321" s="27">
        <v>1.3043478260869566E-2</v>
      </c>
      <c r="F321" s="51">
        <v>620.6</v>
      </c>
      <c r="G321" s="51"/>
    </row>
    <row r="322" spans="1:8" x14ac:dyDescent="0.25">
      <c r="A322" s="52" t="s">
        <v>520</v>
      </c>
      <c r="B322" s="52" t="s">
        <v>521</v>
      </c>
      <c r="C322" s="24" t="s">
        <v>529</v>
      </c>
      <c r="D322" s="24">
        <v>1</v>
      </c>
      <c r="E322" s="27">
        <v>1.3043478260869566E-2</v>
      </c>
      <c r="F322" s="51">
        <v>755.19</v>
      </c>
      <c r="G322" s="51"/>
    </row>
    <row r="323" spans="1:8" x14ac:dyDescent="0.25">
      <c r="A323" s="52" t="s">
        <v>520</v>
      </c>
      <c r="B323" s="52" t="s">
        <v>521</v>
      </c>
      <c r="C323" s="24" t="s">
        <v>530</v>
      </c>
      <c r="D323" s="24">
        <v>1</v>
      </c>
      <c r="E323" s="27">
        <v>2.6086956521739132E-2</v>
      </c>
      <c r="F323" s="51">
        <v>684.73</v>
      </c>
      <c r="G323" s="51"/>
    </row>
    <row r="324" spans="1:8" x14ac:dyDescent="0.25">
      <c r="A324" s="52" t="s">
        <v>520</v>
      </c>
      <c r="B324" s="52" t="s">
        <v>521</v>
      </c>
      <c r="C324" s="24" t="s">
        <v>531</v>
      </c>
      <c r="D324" s="24">
        <v>1</v>
      </c>
      <c r="E324" s="27">
        <v>6.9565217391304349E-2</v>
      </c>
      <c r="F324" s="51">
        <v>627.70000000000005</v>
      </c>
      <c r="G324" s="51"/>
    </row>
    <row r="325" spans="1:8" x14ac:dyDescent="0.25">
      <c r="A325" s="52" t="s">
        <v>520</v>
      </c>
      <c r="B325" s="52" t="s">
        <v>521</v>
      </c>
      <c r="C325" s="24" t="s">
        <v>532</v>
      </c>
      <c r="D325" s="24">
        <v>1</v>
      </c>
      <c r="E325" s="27">
        <v>3.125E-2</v>
      </c>
      <c r="F325" s="51">
        <v>691.73</v>
      </c>
      <c r="G325" s="51"/>
    </row>
    <row r="326" spans="1:8" x14ac:dyDescent="0.25">
      <c r="A326" s="52" t="s">
        <v>520</v>
      </c>
      <c r="B326" s="52" t="s">
        <v>521</v>
      </c>
      <c r="C326" s="24" t="s">
        <v>533</v>
      </c>
      <c r="D326" s="24">
        <v>1</v>
      </c>
      <c r="E326" s="27">
        <v>3.125E-2</v>
      </c>
      <c r="F326" s="51">
        <v>891.33</v>
      </c>
      <c r="G326" s="51"/>
    </row>
    <row r="327" spans="1:8" x14ac:dyDescent="0.25">
      <c r="A327" s="52" t="s">
        <v>520</v>
      </c>
      <c r="B327" s="52" t="s">
        <v>521</v>
      </c>
      <c r="C327" s="24" t="s">
        <v>534</v>
      </c>
      <c r="D327" s="24">
        <v>1</v>
      </c>
      <c r="E327" s="27">
        <v>2E-3</v>
      </c>
      <c r="F327" s="51">
        <v>309.48</v>
      </c>
      <c r="G327" s="51"/>
    </row>
    <row r="328" spans="1:8" x14ac:dyDescent="0.25">
      <c r="A328" s="52" t="s">
        <v>520</v>
      </c>
      <c r="B328" s="52" t="s">
        <v>521</v>
      </c>
      <c r="C328" s="24" t="s">
        <v>535</v>
      </c>
      <c r="D328" s="24">
        <v>1</v>
      </c>
      <c r="E328" s="27">
        <v>5.8450000000000002E-2</v>
      </c>
      <c r="F328" s="51">
        <v>546.24</v>
      </c>
      <c r="G328" s="51"/>
    </row>
    <row r="329" spans="1:8" x14ac:dyDescent="0.25">
      <c r="A329" s="52" t="s">
        <v>520</v>
      </c>
      <c r="B329" s="52" t="s">
        <v>521</v>
      </c>
      <c r="C329" s="24" t="s">
        <v>536</v>
      </c>
      <c r="D329" s="24">
        <v>1</v>
      </c>
      <c r="E329" s="27">
        <v>5.8450000000000002E-2</v>
      </c>
      <c r="F329" s="51">
        <v>692.71</v>
      </c>
      <c r="G329" s="51"/>
    </row>
    <row r="330" spans="1:8" x14ac:dyDescent="0.25">
      <c r="A330" s="52" t="s">
        <v>520</v>
      </c>
      <c r="B330" s="52" t="s">
        <v>521</v>
      </c>
      <c r="C330" s="24" t="s">
        <v>537</v>
      </c>
      <c r="D330" s="24">
        <v>1</v>
      </c>
      <c r="E330" s="27">
        <v>5.8450000000000002E-2</v>
      </c>
      <c r="F330" s="51">
        <v>714.8</v>
      </c>
      <c r="G330" s="51"/>
    </row>
    <row r="331" spans="1:8" x14ac:dyDescent="0.25">
      <c r="A331" s="52" t="s">
        <v>520</v>
      </c>
      <c r="B331" s="52" t="s">
        <v>521</v>
      </c>
      <c r="C331" s="24" t="s">
        <v>538</v>
      </c>
      <c r="D331" s="24">
        <v>1</v>
      </c>
      <c r="E331" s="27">
        <v>5.8450000000000002E-2</v>
      </c>
      <c r="F331" s="51">
        <v>701.98</v>
      </c>
      <c r="G331" s="51"/>
    </row>
    <row r="332" spans="1:8" x14ac:dyDescent="0.25">
      <c r="A332" s="52" t="s">
        <v>520</v>
      </c>
      <c r="B332" s="52" t="s">
        <v>521</v>
      </c>
      <c r="C332" s="24" t="s">
        <v>539</v>
      </c>
      <c r="D332" s="24">
        <v>1</v>
      </c>
      <c r="E332" s="27">
        <v>5.8450000000000002E-2</v>
      </c>
      <c r="F332" s="51">
        <v>694.41</v>
      </c>
      <c r="G332" s="51"/>
    </row>
    <row r="333" spans="1:8" x14ac:dyDescent="0.25">
      <c r="A333" s="52" t="s">
        <v>520</v>
      </c>
      <c r="B333" s="52" t="s">
        <v>521</v>
      </c>
      <c r="C333" s="24" t="s">
        <v>540</v>
      </c>
      <c r="D333" s="24">
        <v>1</v>
      </c>
      <c r="E333" s="27">
        <v>5.8450000000000002E-2</v>
      </c>
      <c r="F333" s="51">
        <v>711.25</v>
      </c>
      <c r="G333" s="51"/>
    </row>
    <row r="334" spans="1:8" x14ac:dyDescent="0.25">
      <c r="A334" s="52" t="s">
        <v>520</v>
      </c>
      <c r="B334" s="52" t="s">
        <v>521</v>
      </c>
      <c r="C334" s="24" t="s">
        <v>541</v>
      </c>
      <c r="D334" s="24">
        <v>1</v>
      </c>
      <c r="E334" s="27">
        <v>4.8000999999999919E-2</v>
      </c>
      <c r="F334" s="51">
        <v>680.55</v>
      </c>
      <c r="G334" s="51"/>
    </row>
    <row r="335" spans="1:8" x14ac:dyDescent="0.25">
      <c r="A335" s="52" t="s">
        <v>542</v>
      </c>
      <c r="B335" s="52" t="s">
        <v>543</v>
      </c>
      <c r="C335" s="24" t="s">
        <v>544</v>
      </c>
      <c r="D335" s="24">
        <v>1</v>
      </c>
      <c r="E335" s="27">
        <v>2.5000000000000001E-2</v>
      </c>
      <c r="F335" s="51">
        <v>619.34</v>
      </c>
      <c r="G335" s="51">
        <v>693.38</v>
      </c>
      <c r="H335" s="10"/>
    </row>
    <row r="336" spans="1:8" x14ac:dyDescent="0.25">
      <c r="A336" s="52" t="s">
        <v>542</v>
      </c>
      <c r="B336" s="52" t="s">
        <v>543</v>
      </c>
      <c r="C336" s="24" t="s">
        <v>545</v>
      </c>
      <c r="D336" s="24">
        <v>1</v>
      </c>
      <c r="E336" s="27">
        <v>2.5000000000000001E-2</v>
      </c>
      <c r="F336" s="51">
        <v>805.43</v>
      </c>
      <c r="G336" s="51"/>
    </row>
    <row r="337" spans="1:7" x14ac:dyDescent="0.25">
      <c r="A337" s="52" t="s">
        <v>542</v>
      </c>
      <c r="B337" s="52" t="s">
        <v>543</v>
      </c>
      <c r="C337" s="24" t="s">
        <v>546</v>
      </c>
      <c r="D337" s="24">
        <v>1</v>
      </c>
      <c r="E337" s="27">
        <v>0.1</v>
      </c>
      <c r="F337" s="51">
        <v>968.25</v>
      </c>
      <c r="G337" s="51"/>
    </row>
    <row r="338" spans="1:7" x14ac:dyDescent="0.25">
      <c r="A338" s="52" t="s">
        <v>542</v>
      </c>
      <c r="B338" s="52" t="s">
        <v>543</v>
      </c>
      <c r="C338" s="24" t="s">
        <v>547</v>
      </c>
      <c r="D338" s="24">
        <v>1</v>
      </c>
      <c r="E338" s="27">
        <v>0.1</v>
      </c>
      <c r="F338" s="51">
        <v>822.84</v>
      </c>
      <c r="G338" s="51"/>
    </row>
    <row r="339" spans="1:7" x14ac:dyDescent="0.25">
      <c r="A339" s="52" t="s">
        <v>542</v>
      </c>
      <c r="B339" s="52" t="s">
        <v>543</v>
      </c>
      <c r="C339" s="24" t="s">
        <v>548</v>
      </c>
      <c r="D339" s="24">
        <v>1</v>
      </c>
      <c r="E339" s="27">
        <v>0.4</v>
      </c>
      <c r="F339" s="51">
        <v>723.28</v>
      </c>
      <c r="G339" s="51"/>
    </row>
    <row r="340" spans="1:7" x14ac:dyDescent="0.25">
      <c r="A340" s="52" t="s">
        <v>542</v>
      </c>
      <c r="B340" s="52" t="s">
        <v>543</v>
      </c>
      <c r="C340" s="24" t="s">
        <v>549</v>
      </c>
      <c r="D340" s="24">
        <v>1</v>
      </c>
      <c r="E340" s="27">
        <v>0.15</v>
      </c>
      <c r="F340" s="51">
        <v>326.29000000000002</v>
      </c>
      <c r="G340" s="51"/>
    </row>
    <row r="341" spans="1:7" x14ac:dyDescent="0.25">
      <c r="A341" s="52" t="s">
        <v>542</v>
      </c>
      <c r="B341" s="52" t="s">
        <v>543</v>
      </c>
      <c r="C341" s="24" t="s">
        <v>550</v>
      </c>
      <c r="D341" s="24">
        <v>1</v>
      </c>
      <c r="E341" s="27">
        <v>0.2</v>
      </c>
      <c r="F341" s="51">
        <v>701.98</v>
      </c>
      <c r="G341" s="51"/>
    </row>
    <row r="342" spans="1:7" ht="23" x14ac:dyDescent="0.25">
      <c r="A342" s="52" t="s">
        <v>551</v>
      </c>
      <c r="B342" s="52" t="s">
        <v>552</v>
      </c>
      <c r="C342" s="52" t="s">
        <v>553</v>
      </c>
      <c r="D342" s="53">
        <v>1</v>
      </c>
      <c r="E342" s="54">
        <v>0.9</v>
      </c>
      <c r="F342" s="51">
        <v>257.89</v>
      </c>
      <c r="G342" s="51">
        <v>294.70999999999998</v>
      </c>
    </row>
    <row r="343" spans="1:7" ht="12.5" x14ac:dyDescent="0.25">
      <c r="A343" s="52" t="s">
        <v>551</v>
      </c>
      <c r="B343" s="52" t="s">
        <v>552</v>
      </c>
      <c r="C343" s="52" t="s">
        <v>554</v>
      </c>
      <c r="D343" s="53">
        <v>1</v>
      </c>
      <c r="E343" s="54">
        <v>0.1</v>
      </c>
      <c r="F343" s="51">
        <v>626.13</v>
      </c>
      <c r="G343" s="51"/>
    </row>
    <row r="344" spans="1:7" ht="12.5" x14ac:dyDescent="0.25">
      <c r="A344" s="52" t="s">
        <v>555</v>
      </c>
      <c r="B344" s="52" t="s">
        <v>556</v>
      </c>
      <c r="C344" s="52" t="s">
        <v>557</v>
      </c>
      <c r="D344" s="53">
        <v>1</v>
      </c>
      <c r="E344" s="54">
        <v>0.15</v>
      </c>
      <c r="F344" s="51">
        <v>571.79999999999995</v>
      </c>
      <c r="G344" s="51">
        <v>762.96</v>
      </c>
    </row>
    <row r="345" spans="1:7" ht="12.5" x14ac:dyDescent="0.25">
      <c r="A345" s="52" t="s">
        <v>555</v>
      </c>
      <c r="B345" s="52" t="s">
        <v>556</v>
      </c>
      <c r="C345" s="52" t="s">
        <v>558</v>
      </c>
      <c r="D345" s="53">
        <v>1</v>
      </c>
      <c r="E345" s="54">
        <v>0.35</v>
      </c>
      <c r="F345" s="51">
        <v>908.55</v>
      </c>
      <c r="G345" s="51"/>
    </row>
    <row r="346" spans="1:7" ht="23" x14ac:dyDescent="0.25">
      <c r="A346" s="52" t="s">
        <v>555</v>
      </c>
      <c r="B346" s="52" t="s">
        <v>556</v>
      </c>
      <c r="C346" s="52" t="s">
        <v>559</v>
      </c>
      <c r="D346" s="53">
        <v>1</v>
      </c>
      <c r="E346" s="54">
        <v>0.1</v>
      </c>
      <c r="F346" s="51">
        <v>877.31</v>
      </c>
      <c r="G346" s="51"/>
    </row>
    <row r="347" spans="1:7" ht="12.5" x14ac:dyDescent="0.25">
      <c r="A347" s="52" t="s">
        <v>555</v>
      </c>
      <c r="B347" s="52" t="s">
        <v>556</v>
      </c>
      <c r="C347" s="52" t="s">
        <v>560</v>
      </c>
      <c r="D347" s="53">
        <v>1</v>
      </c>
      <c r="E347" s="54">
        <v>0.3</v>
      </c>
      <c r="F347" s="51">
        <v>739.02</v>
      </c>
      <c r="G347" s="51"/>
    </row>
    <row r="348" spans="1:7" ht="12.5" x14ac:dyDescent="0.25">
      <c r="A348" s="52" t="s">
        <v>555</v>
      </c>
      <c r="B348" s="52" t="s">
        <v>556</v>
      </c>
      <c r="C348" s="52" t="s">
        <v>561</v>
      </c>
      <c r="D348" s="53">
        <v>1</v>
      </c>
      <c r="E348" s="54">
        <v>0.1</v>
      </c>
      <c r="F348" s="51">
        <v>497.58</v>
      </c>
      <c r="G348" s="51"/>
    </row>
    <row r="349" spans="1:7" ht="12.5" x14ac:dyDescent="0.25">
      <c r="A349" s="52" t="s">
        <v>562</v>
      </c>
      <c r="B349" s="52" t="s">
        <v>563</v>
      </c>
      <c r="C349" s="52" t="s">
        <v>564</v>
      </c>
      <c r="D349" s="55">
        <v>1</v>
      </c>
      <c r="E349" s="27">
        <v>0.2</v>
      </c>
      <c r="F349" s="51">
        <v>167.09</v>
      </c>
      <c r="G349" s="51">
        <v>198.81</v>
      </c>
    </row>
    <row r="350" spans="1:7" ht="12.5" x14ac:dyDescent="0.25">
      <c r="A350" s="52" t="s">
        <v>562</v>
      </c>
      <c r="B350" s="52" t="s">
        <v>563</v>
      </c>
      <c r="C350" s="52" t="s">
        <v>565</v>
      </c>
      <c r="D350" s="55">
        <v>1</v>
      </c>
      <c r="E350" s="27">
        <v>0.15</v>
      </c>
      <c r="F350" s="51">
        <v>233.71</v>
      </c>
      <c r="G350" s="51"/>
    </row>
    <row r="351" spans="1:7" ht="12.5" x14ac:dyDescent="0.25">
      <c r="A351" s="52" t="s">
        <v>562</v>
      </c>
      <c r="B351" s="52" t="s">
        <v>563</v>
      </c>
      <c r="C351" s="52" t="s">
        <v>566</v>
      </c>
      <c r="D351" s="55">
        <v>1</v>
      </c>
      <c r="E351" s="27">
        <v>0.05</v>
      </c>
      <c r="F351" s="51">
        <v>437.88</v>
      </c>
      <c r="G351" s="51"/>
    </row>
    <row r="352" spans="1:7" ht="12.5" x14ac:dyDescent="0.25">
      <c r="A352" s="52" t="s">
        <v>562</v>
      </c>
      <c r="B352" s="52" t="s">
        <v>563</v>
      </c>
      <c r="C352" s="52" t="s">
        <v>567</v>
      </c>
      <c r="D352" s="55">
        <v>1</v>
      </c>
      <c r="E352" s="27">
        <v>0.1</v>
      </c>
      <c r="F352" s="51">
        <v>271.33</v>
      </c>
      <c r="G352" s="51"/>
    </row>
    <row r="353" spans="1:7" ht="12.5" x14ac:dyDescent="0.25">
      <c r="A353" s="52" t="s">
        <v>562</v>
      </c>
      <c r="B353" s="52" t="s">
        <v>563</v>
      </c>
      <c r="C353" s="56" t="s">
        <v>568</v>
      </c>
      <c r="D353" s="55">
        <v>1</v>
      </c>
      <c r="E353" s="27">
        <v>0.25</v>
      </c>
      <c r="F353" s="51">
        <v>148.02000000000001</v>
      </c>
      <c r="G353" s="51"/>
    </row>
    <row r="354" spans="1:7" ht="12.5" x14ac:dyDescent="0.25">
      <c r="A354" s="52" t="s">
        <v>562</v>
      </c>
      <c r="B354" s="52" t="s">
        <v>563</v>
      </c>
      <c r="C354" s="56" t="s">
        <v>569</v>
      </c>
      <c r="D354" s="55">
        <v>1</v>
      </c>
      <c r="E354" s="27">
        <v>0.25</v>
      </c>
      <c r="F354" s="51">
        <v>177.2</v>
      </c>
      <c r="G354" s="51"/>
    </row>
    <row r="355" spans="1:7" ht="12.5" x14ac:dyDescent="0.25">
      <c r="A355" s="52" t="s">
        <v>570</v>
      </c>
      <c r="B355" s="52" t="s">
        <v>571</v>
      </c>
      <c r="C355" s="57" t="s">
        <v>572</v>
      </c>
      <c r="D355" s="55">
        <v>1</v>
      </c>
      <c r="E355" s="58">
        <v>0.2</v>
      </c>
      <c r="F355" s="51">
        <v>217.99</v>
      </c>
      <c r="G355" s="51">
        <v>303.89999999999998</v>
      </c>
    </row>
    <row r="356" spans="1:7" ht="12.5" x14ac:dyDescent="0.25">
      <c r="A356" s="52" t="s">
        <v>570</v>
      </c>
      <c r="B356" s="52" t="s">
        <v>571</v>
      </c>
      <c r="C356" s="52" t="s">
        <v>573</v>
      </c>
      <c r="D356" s="55">
        <v>1</v>
      </c>
      <c r="E356" s="58">
        <v>0.2</v>
      </c>
      <c r="F356" s="51">
        <v>249.3</v>
      </c>
      <c r="G356" s="51"/>
    </row>
    <row r="357" spans="1:7" ht="12.5" x14ac:dyDescent="0.25">
      <c r="A357" s="52" t="s">
        <v>570</v>
      </c>
      <c r="B357" s="52" t="s">
        <v>571</v>
      </c>
      <c r="C357" s="52" t="s">
        <v>574</v>
      </c>
      <c r="D357" s="55">
        <v>1</v>
      </c>
      <c r="E357" s="58">
        <v>0.2</v>
      </c>
      <c r="F357" s="51">
        <v>456.78</v>
      </c>
      <c r="G357" s="51"/>
    </row>
    <row r="358" spans="1:7" ht="12.5" x14ac:dyDescent="0.25">
      <c r="A358" s="52" t="s">
        <v>570</v>
      </c>
      <c r="B358" s="52" t="s">
        <v>571</v>
      </c>
      <c r="C358" s="52" t="s">
        <v>575</v>
      </c>
      <c r="D358" s="55">
        <v>1</v>
      </c>
      <c r="E358" s="58">
        <v>0.2</v>
      </c>
      <c r="F358" s="51">
        <v>382.23</v>
      </c>
      <c r="G358" s="51"/>
    </row>
    <row r="359" spans="1:7" ht="12.5" x14ac:dyDescent="0.25">
      <c r="A359" s="52" t="s">
        <v>570</v>
      </c>
      <c r="B359" s="52" t="s">
        <v>571</v>
      </c>
      <c r="C359" s="52" t="s">
        <v>576</v>
      </c>
      <c r="D359" s="55">
        <v>1</v>
      </c>
      <c r="E359" s="58">
        <v>0.2</v>
      </c>
      <c r="F359" s="51">
        <v>213.21</v>
      </c>
      <c r="G359" s="51"/>
    </row>
    <row r="360" spans="1:7" ht="12.5" x14ac:dyDescent="0.25">
      <c r="A360" s="52" t="s">
        <v>577</v>
      </c>
      <c r="B360" s="52" t="s">
        <v>578</v>
      </c>
      <c r="C360" s="52" t="s">
        <v>579</v>
      </c>
      <c r="D360" s="53">
        <v>1</v>
      </c>
      <c r="E360" s="54">
        <v>0.25</v>
      </c>
      <c r="F360" s="51">
        <v>642.63</v>
      </c>
      <c r="G360" s="51">
        <v>643.16999999999996</v>
      </c>
    </row>
    <row r="361" spans="1:7" ht="12.5" x14ac:dyDescent="0.25">
      <c r="A361" s="52" t="s">
        <v>577</v>
      </c>
      <c r="B361" s="52" t="s">
        <v>578</v>
      </c>
      <c r="C361" s="52" t="s">
        <v>580</v>
      </c>
      <c r="D361" s="53">
        <v>1</v>
      </c>
      <c r="E361" s="54">
        <v>0.5</v>
      </c>
      <c r="F361" s="51">
        <v>614.89</v>
      </c>
      <c r="G361" s="51"/>
    </row>
    <row r="362" spans="1:7" ht="12.5" x14ac:dyDescent="0.25">
      <c r="A362" s="52" t="s">
        <v>577</v>
      </c>
      <c r="B362" s="52" t="s">
        <v>578</v>
      </c>
      <c r="C362" s="52" t="s">
        <v>581</v>
      </c>
      <c r="D362" s="53">
        <v>1</v>
      </c>
      <c r="E362" s="54">
        <v>0.25</v>
      </c>
      <c r="F362" s="51">
        <v>700.28</v>
      </c>
      <c r="G362" s="51"/>
    </row>
    <row r="363" spans="1:7" x14ac:dyDescent="0.25">
      <c r="A363" s="24" t="s">
        <v>582</v>
      </c>
      <c r="B363" s="35" t="s">
        <v>583</v>
      </c>
      <c r="C363" s="24" t="s">
        <v>582</v>
      </c>
      <c r="D363" s="24">
        <v>1</v>
      </c>
      <c r="E363" s="27">
        <v>1</v>
      </c>
      <c r="F363" s="51">
        <v>1141.1199999999999</v>
      </c>
      <c r="G363" s="51">
        <v>1141.1199999999999</v>
      </c>
    </row>
    <row r="364" spans="1:7" ht="12.5" x14ac:dyDescent="0.25">
      <c r="A364" s="52" t="s">
        <v>584</v>
      </c>
      <c r="B364" s="52" t="s">
        <v>585</v>
      </c>
      <c r="C364" s="52" t="s">
        <v>586</v>
      </c>
      <c r="D364" s="53">
        <v>1</v>
      </c>
      <c r="E364" s="54">
        <v>0.540926640926641</v>
      </c>
      <c r="F364" s="51">
        <v>159.01</v>
      </c>
      <c r="G364" s="51">
        <v>161.19</v>
      </c>
    </row>
    <row r="365" spans="1:7" ht="12.5" x14ac:dyDescent="0.25">
      <c r="A365" s="52" t="s">
        <v>584</v>
      </c>
      <c r="B365" s="52" t="s">
        <v>585</v>
      </c>
      <c r="C365" s="52" t="s">
        <v>587</v>
      </c>
      <c r="D365" s="53">
        <v>1</v>
      </c>
      <c r="E365" s="54">
        <v>0.29907335907335902</v>
      </c>
      <c r="F365" s="51">
        <v>149.31</v>
      </c>
      <c r="G365" s="51"/>
    </row>
    <row r="366" spans="1:7" ht="12.5" x14ac:dyDescent="0.25">
      <c r="A366" s="52" t="s">
        <v>584</v>
      </c>
      <c r="B366" s="52" t="s">
        <v>585</v>
      </c>
      <c r="C366" s="52" t="s">
        <v>588</v>
      </c>
      <c r="D366" s="53">
        <v>1</v>
      </c>
      <c r="E366" s="54">
        <v>0.15999999999999998</v>
      </c>
      <c r="F366" s="51">
        <v>190.75</v>
      </c>
      <c r="G366" s="51"/>
    </row>
    <row r="367" spans="1:7" ht="12.5" x14ac:dyDescent="0.25">
      <c r="A367" s="59" t="s">
        <v>589</v>
      </c>
      <c r="B367" s="52" t="s">
        <v>590</v>
      </c>
      <c r="C367" s="59" t="s">
        <v>591</v>
      </c>
      <c r="D367" s="60">
        <v>1</v>
      </c>
      <c r="E367" s="61">
        <v>0.05</v>
      </c>
      <c r="F367" s="51">
        <v>22.43</v>
      </c>
      <c r="G367" s="51">
        <v>42.96</v>
      </c>
    </row>
    <row r="368" spans="1:7" ht="12.5" x14ac:dyDescent="0.25">
      <c r="A368" s="59" t="s">
        <v>589</v>
      </c>
      <c r="B368" s="52" t="s">
        <v>590</v>
      </c>
      <c r="C368" s="52" t="s">
        <v>592</v>
      </c>
      <c r="D368" s="53">
        <v>1</v>
      </c>
      <c r="E368" s="54">
        <v>0.2</v>
      </c>
      <c r="F368" s="51">
        <v>35.700000000000003</v>
      </c>
      <c r="G368" s="51"/>
    </row>
    <row r="369" spans="1:7" ht="12.5" x14ac:dyDescent="0.25">
      <c r="A369" s="59" t="s">
        <v>589</v>
      </c>
      <c r="B369" s="52" t="s">
        <v>590</v>
      </c>
      <c r="C369" s="52" t="s">
        <v>593</v>
      </c>
      <c r="D369" s="53">
        <v>1</v>
      </c>
      <c r="E369" s="54">
        <v>0.05</v>
      </c>
      <c r="F369" s="51">
        <v>44.54</v>
      </c>
      <c r="G369" s="51"/>
    </row>
    <row r="370" spans="1:7" ht="12.5" x14ac:dyDescent="0.25">
      <c r="A370" s="59" t="s">
        <v>589</v>
      </c>
      <c r="B370" s="52" t="s">
        <v>590</v>
      </c>
      <c r="C370" s="52" t="s">
        <v>594</v>
      </c>
      <c r="D370" s="53">
        <v>1</v>
      </c>
      <c r="E370" s="54">
        <v>0.55000000000000004</v>
      </c>
      <c r="F370" s="51">
        <v>38</v>
      </c>
      <c r="G370" s="51"/>
    </row>
    <row r="371" spans="1:7" ht="12.5" x14ac:dyDescent="0.25">
      <c r="A371" s="59" t="s">
        <v>589</v>
      </c>
      <c r="B371" s="52" t="s">
        <v>590</v>
      </c>
      <c r="C371" s="52" t="s">
        <v>595</v>
      </c>
      <c r="D371" s="53">
        <v>1</v>
      </c>
      <c r="E371" s="54">
        <v>0.15</v>
      </c>
      <c r="F371" s="51">
        <v>77.11</v>
      </c>
      <c r="G371" s="51"/>
    </row>
    <row r="372" spans="1:7" x14ac:dyDescent="0.25">
      <c r="A372" s="24" t="s">
        <v>596</v>
      </c>
      <c r="B372" s="35" t="s">
        <v>597</v>
      </c>
      <c r="C372" s="24" t="s">
        <v>598</v>
      </c>
      <c r="D372" s="24">
        <v>1</v>
      </c>
      <c r="E372" s="27">
        <v>0.1</v>
      </c>
      <c r="F372" s="51">
        <v>95.95</v>
      </c>
      <c r="G372" s="51">
        <v>106.85</v>
      </c>
    </row>
    <row r="373" spans="1:7" x14ac:dyDescent="0.25">
      <c r="A373" s="24" t="s">
        <v>596</v>
      </c>
      <c r="B373" s="35" t="s">
        <v>597</v>
      </c>
      <c r="C373" s="24" t="s">
        <v>599</v>
      </c>
      <c r="D373" s="24">
        <v>1</v>
      </c>
      <c r="E373" s="27">
        <v>0.35</v>
      </c>
      <c r="F373" s="51">
        <v>118.62</v>
      </c>
      <c r="G373" s="51"/>
    </row>
    <row r="374" spans="1:7" x14ac:dyDescent="0.25">
      <c r="A374" s="24" t="s">
        <v>596</v>
      </c>
      <c r="B374" s="35" t="s">
        <v>597</v>
      </c>
      <c r="C374" s="24" t="s">
        <v>600</v>
      </c>
      <c r="D374" s="24">
        <v>1</v>
      </c>
      <c r="E374" s="27">
        <v>0.2</v>
      </c>
      <c r="F374" s="51">
        <v>133.21</v>
      </c>
      <c r="G374" s="51"/>
    </row>
    <row r="375" spans="1:7" x14ac:dyDescent="0.25">
      <c r="A375" s="24" t="s">
        <v>596</v>
      </c>
      <c r="B375" s="35" t="s">
        <v>597</v>
      </c>
      <c r="C375" s="24" t="s">
        <v>601</v>
      </c>
      <c r="D375" s="24">
        <v>1</v>
      </c>
      <c r="E375" s="27">
        <v>0.1</v>
      </c>
      <c r="F375" s="51">
        <v>89.97</v>
      </c>
      <c r="G375" s="51"/>
    </row>
    <row r="376" spans="1:7" x14ac:dyDescent="0.25">
      <c r="A376" s="24" t="s">
        <v>596</v>
      </c>
      <c r="B376" s="35" t="s">
        <v>597</v>
      </c>
      <c r="C376" s="24" t="s">
        <v>602</v>
      </c>
      <c r="D376" s="24">
        <v>1</v>
      </c>
      <c r="E376" s="27">
        <v>0.05</v>
      </c>
      <c r="F376" s="51">
        <v>119.12</v>
      </c>
      <c r="G376" s="51"/>
    </row>
    <row r="377" spans="1:7" x14ac:dyDescent="0.25">
      <c r="A377" s="24" t="s">
        <v>596</v>
      </c>
      <c r="B377" s="35" t="s">
        <v>597</v>
      </c>
      <c r="C377" s="24" t="s">
        <v>603</v>
      </c>
      <c r="D377" s="24">
        <v>1</v>
      </c>
      <c r="E377" s="27">
        <v>0.1</v>
      </c>
      <c r="F377" s="51">
        <v>83.48</v>
      </c>
      <c r="G377" s="51"/>
    </row>
    <row r="378" spans="1:7" x14ac:dyDescent="0.25">
      <c r="A378" s="24" t="s">
        <v>596</v>
      </c>
      <c r="B378" s="35" t="s">
        <v>597</v>
      </c>
      <c r="C378" s="24" t="s">
        <v>604</v>
      </c>
      <c r="D378" s="24">
        <v>1</v>
      </c>
      <c r="E378" s="27">
        <v>0.1</v>
      </c>
      <c r="F378" s="51">
        <v>57.9</v>
      </c>
      <c r="G378" s="51"/>
    </row>
    <row r="379" spans="1:7" ht="12.5" x14ac:dyDescent="0.25">
      <c r="A379" s="24" t="s">
        <v>605</v>
      </c>
      <c r="B379" s="35" t="s">
        <v>606</v>
      </c>
      <c r="C379" s="52" t="s">
        <v>607</v>
      </c>
      <c r="D379" s="53">
        <v>1</v>
      </c>
      <c r="E379" s="54">
        <v>0.3</v>
      </c>
      <c r="F379" s="51">
        <v>63.95</v>
      </c>
      <c r="G379" s="51">
        <v>62.88</v>
      </c>
    </row>
    <row r="380" spans="1:7" ht="12.5" x14ac:dyDescent="0.25">
      <c r="A380" s="24" t="s">
        <v>605</v>
      </c>
      <c r="B380" s="35" t="s">
        <v>606</v>
      </c>
      <c r="C380" s="52" t="s">
        <v>608</v>
      </c>
      <c r="D380" s="60">
        <v>1</v>
      </c>
      <c r="E380" s="61">
        <v>0.3</v>
      </c>
      <c r="F380" s="51">
        <v>71.790000000000006</v>
      </c>
      <c r="G380" s="51"/>
    </row>
    <row r="381" spans="1:7" ht="12.5" x14ac:dyDescent="0.25">
      <c r="A381" s="24" t="s">
        <v>605</v>
      </c>
      <c r="B381" s="35" t="s">
        <v>606</v>
      </c>
      <c r="C381" s="52" t="s">
        <v>609</v>
      </c>
      <c r="D381" s="60">
        <v>1</v>
      </c>
      <c r="E381" s="61">
        <v>0.2</v>
      </c>
      <c r="F381" s="51">
        <v>45.48</v>
      </c>
      <c r="G381" s="51"/>
    </row>
    <row r="382" spans="1:7" ht="12.5" x14ac:dyDescent="0.25">
      <c r="A382" s="24" t="s">
        <v>605</v>
      </c>
      <c r="B382" s="35" t="s">
        <v>606</v>
      </c>
      <c r="C382" s="52" t="s">
        <v>610</v>
      </c>
      <c r="D382" s="53">
        <v>1</v>
      </c>
      <c r="E382" s="54">
        <v>0.2</v>
      </c>
      <c r="F382" s="51">
        <v>65.319999999999993</v>
      </c>
      <c r="G382" s="51"/>
    </row>
    <row r="383" spans="1:7" x14ac:dyDescent="0.25">
      <c r="A383" s="24" t="s">
        <v>611</v>
      </c>
      <c r="B383" s="35" t="s">
        <v>612</v>
      </c>
      <c r="C383" s="24" t="s">
        <v>611</v>
      </c>
      <c r="D383" s="24">
        <v>1</v>
      </c>
      <c r="E383" s="27">
        <v>1</v>
      </c>
      <c r="F383" s="51">
        <v>488.21</v>
      </c>
      <c r="G383" s="51">
        <v>488.21</v>
      </c>
    </row>
    <row r="384" spans="1:7" x14ac:dyDescent="0.25">
      <c r="A384" s="24" t="s">
        <v>613</v>
      </c>
      <c r="B384" s="35" t="s">
        <v>614</v>
      </c>
      <c r="C384" s="52" t="s">
        <v>615</v>
      </c>
      <c r="D384" s="24">
        <v>1</v>
      </c>
      <c r="E384" s="27">
        <v>1</v>
      </c>
      <c r="F384" s="51">
        <v>196.06</v>
      </c>
      <c r="G384" s="51">
        <v>196.06</v>
      </c>
    </row>
    <row r="385" spans="1:7" x14ac:dyDescent="0.25">
      <c r="A385" s="24" t="s">
        <v>616</v>
      </c>
      <c r="B385" s="35" t="s">
        <v>617</v>
      </c>
      <c r="C385" s="24" t="s">
        <v>618</v>
      </c>
      <c r="D385" s="24">
        <v>1</v>
      </c>
      <c r="E385" s="27">
        <v>0.7</v>
      </c>
      <c r="F385" s="51">
        <v>620.27539999999999</v>
      </c>
      <c r="G385" s="51">
        <v>529.73</v>
      </c>
    </row>
    <row r="386" spans="1:7" x14ac:dyDescent="0.25">
      <c r="A386" s="24" t="s">
        <v>616</v>
      </c>
      <c r="B386" s="35" t="s">
        <v>617</v>
      </c>
      <c r="C386" s="24" t="s">
        <v>619</v>
      </c>
      <c r="D386" s="24">
        <v>1</v>
      </c>
      <c r="E386" s="27">
        <v>0.15</v>
      </c>
      <c r="F386" s="51">
        <v>113.92680000000001</v>
      </c>
      <c r="G386" s="51"/>
    </row>
    <row r="387" spans="1:7" x14ac:dyDescent="0.25">
      <c r="A387" s="24" t="s">
        <v>616</v>
      </c>
      <c r="B387" s="35" t="s">
        <v>617</v>
      </c>
      <c r="C387" s="24" t="s">
        <v>620</v>
      </c>
      <c r="D387" s="24">
        <v>1</v>
      </c>
      <c r="E387" s="27">
        <v>0.15</v>
      </c>
      <c r="F387" s="51">
        <v>523.00380000000007</v>
      </c>
      <c r="G387" s="51"/>
    </row>
    <row r="388" spans="1:7" x14ac:dyDescent="0.25">
      <c r="A388" s="24" t="s">
        <v>621</v>
      </c>
      <c r="B388" s="35" t="s">
        <v>622</v>
      </c>
      <c r="C388" s="24" t="s">
        <v>621</v>
      </c>
      <c r="D388" s="24">
        <v>1</v>
      </c>
      <c r="E388" s="27">
        <v>1</v>
      </c>
      <c r="F388" s="51">
        <v>10.99</v>
      </c>
      <c r="G388" s="51">
        <v>10.99</v>
      </c>
    </row>
    <row r="389" spans="1:7" ht="12.5" x14ac:dyDescent="0.25">
      <c r="A389" s="24" t="s">
        <v>623</v>
      </c>
      <c r="B389" s="35" t="s">
        <v>624</v>
      </c>
      <c r="C389" s="62" t="s">
        <v>625</v>
      </c>
      <c r="D389" s="53">
        <v>1</v>
      </c>
      <c r="E389" s="54">
        <v>0.15</v>
      </c>
      <c r="F389" s="51">
        <v>1512.35</v>
      </c>
      <c r="G389" s="51">
        <v>1253.6400000000001</v>
      </c>
    </row>
    <row r="390" spans="1:7" ht="12.5" x14ac:dyDescent="0.25">
      <c r="A390" s="24" t="s">
        <v>623</v>
      </c>
      <c r="B390" s="35" t="s">
        <v>624</v>
      </c>
      <c r="C390" s="62" t="s">
        <v>626</v>
      </c>
      <c r="D390" s="53">
        <v>1</v>
      </c>
      <c r="E390" s="54">
        <v>0.7</v>
      </c>
      <c r="F390" s="51">
        <v>1237.8900000000001</v>
      </c>
      <c r="G390" s="51"/>
    </row>
    <row r="391" spans="1:7" ht="12.5" x14ac:dyDescent="0.25">
      <c r="A391" s="24" t="s">
        <v>623</v>
      </c>
      <c r="B391" s="35" t="s">
        <v>624</v>
      </c>
      <c r="C391" s="62" t="s">
        <v>627</v>
      </c>
      <c r="D391" s="53">
        <v>1</v>
      </c>
      <c r="E391" s="54">
        <v>0.1</v>
      </c>
      <c r="F391" s="51">
        <v>1046.72</v>
      </c>
      <c r="G391" s="51"/>
    </row>
    <row r="392" spans="1:7" ht="12.5" x14ac:dyDescent="0.25">
      <c r="A392" s="24" t="s">
        <v>623</v>
      </c>
      <c r="B392" s="35" t="s">
        <v>624</v>
      </c>
      <c r="C392" s="52" t="s">
        <v>628</v>
      </c>
      <c r="D392" s="53">
        <v>1</v>
      </c>
      <c r="E392" s="54">
        <v>0.05</v>
      </c>
      <c r="F392" s="51">
        <v>1111.8</v>
      </c>
      <c r="G392" s="51"/>
    </row>
    <row r="393" spans="1:7" x14ac:dyDescent="0.25">
      <c r="A393" s="24" t="s">
        <v>629</v>
      </c>
      <c r="B393" s="35" t="s">
        <v>630</v>
      </c>
      <c r="C393" s="24" t="s">
        <v>631</v>
      </c>
      <c r="D393" s="24">
        <v>1</v>
      </c>
      <c r="E393" s="27">
        <v>1</v>
      </c>
      <c r="F393" s="51">
        <v>288.3</v>
      </c>
      <c r="G393" s="51">
        <v>288.3</v>
      </c>
    </row>
    <row r="394" spans="1:7" x14ac:dyDescent="0.25">
      <c r="A394" s="24" t="s">
        <v>632</v>
      </c>
      <c r="B394" s="35" t="s">
        <v>633</v>
      </c>
      <c r="C394" s="24" t="s">
        <v>634</v>
      </c>
      <c r="D394" s="24">
        <v>1</v>
      </c>
      <c r="E394" s="27">
        <v>0.2</v>
      </c>
      <c r="F394" s="51">
        <v>229.99</v>
      </c>
      <c r="G394" s="51">
        <v>315.14</v>
      </c>
    </row>
    <row r="395" spans="1:7" x14ac:dyDescent="0.25">
      <c r="A395" s="24" t="s">
        <v>632</v>
      </c>
      <c r="B395" s="35" t="s">
        <v>633</v>
      </c>
      <c r="C395" s="24" t="s">
        <v>635</v>
      </c>
      <c r="D395" s="24">
        <v>1</v>
      </c>
      <c r="E395" s="27">
        <v>0.8</v>
      </c>
      <c r="F395" s="51">
        <v>336.43</v>
      </c>
      <c r="G395" s="51"/>
    </row>
    <row r="396" spans="1:7" x14ac:dyDescent="0.25">
      <c r="A396" s="52" t="s">
        <v>636</v>
      </c>
      <c r="B396" s="52" t="s">
        <v>637</v>
      </c>
      <c r="C396" s="52" t="s">
        <v>636</v>
      </c>
      <c r="D396" s="24">
        <v>1</v>
      </c>
      <c r="E396" s="27">
        <v>1</v>
      </c>
      <c r="F396" s="51">
        <v>343.53</v>
      </c>
      <c r="G396" s="51">
        <v>343.53</v>
      </c>
    </row>
    <row r="397" spans="1:7" x14ac:dyDescent="0.25">
      <c r="A397" s="24" t="s">
        <v>638</v>
      </c>
      <c r="B397" s="35" t="s">
        <v>639</v>
      </c>
      <c r="C397" s="24" t="s">
        <v>638</v>
      </c>
      <c r="D397" s="24">
        <v>1</v>
      </c>
      <c r="E397" s="27">
        <v>1</v>
      </c>
      <c r="F397" s="51">
        <v>2425.2600000000002</v>
      </c>
      <c r="G397" s="51">
        <v>2425.2600000000002</v>
      </c>
    </row>
    <row r="398" spans="1:7" x14ac:dyDescent="0.25">
      <c r="A398" s="24" t="s">
        <v>640</v>
      </c>
      <c r="B398" s="35" t="s">
        <v>641</v>
      </c>
      <c r="C398" s="35" t="s">
        <v>640</v>
      </c>
      <c r="D398" s="26">
        <v>1</v>
      </c>
      <c r="E398" s="27">
        <v>1</v>
      </c>
      <c r="F398" s="27">
        <v>2400</v>
      </c>
      <c r="G398" s="27">
        <v>2400</v>
      </c>
    </row>
    <row r="399" spans="1:7" ht="23" x14ac:dyDescent="0.25">
      <c r="A399" s="24" t="s">
        <v>642</v>
      </c>
      <c r="B399" s="35" t="s">
        <v>643</v>
      </c>
      <c r="C399" s="35" t="s">
        <v>642</v>
      </c>
      <c r="D399" s="26">
        <v>1</v>
      </c>
      <c r="E399" s="27">
        <v>1</v>
      </c>
      <c r="F399" s="27">
        <v>943.2</v>
      </c>
      <c r="G399" s="27">
        <v>943.2</v>
      </c>
    </row>
    <row r="400" spans="1:7" x14ac:dyDescent="0.25">
      <c r="A400" s="24" t="s">
        <v>644</v>
      </c>
      <c r="B400" s="35" t="s">
        <v>645</v>
      </c>
      <c r="C400" s="35" t="s">
        <v>644</v>
      </c>
      <c r="D400" s="26">
        <v>1</v>
      </c>
      <c r="E400" s="27">
        <v>1</v>
      </c>
      <c r="F400" s="27">
        <v>959</v>
      </c>
      <c r="G400" s="27">
        <v>959</v>
      </c>
    </row>
    <row r="401" spans="1:7" x14ac:dyDescent="0.25">
      <c r="A401" s="24" t="s">
        <v>646</v>
      </c>
      <c r="B401" s="35" t="s">
        <v>647</v>
      </c>
      <c r="C401" s="24" t="s">
        <v>648</v>
      </c>
      <c r="D401" s="26">
        <v>1</v>
      </c>
      <c r="E401" s="27">
        <v>1</v>
      </c>
      <c r="F401" s="27">
        <v>5467.6</v>
      </c>
      <c r="G401" s="27">
        <v>5467.6</v>
      </c>
    </row>
    <row r="402" spans="1:7" x14ac:dyDescent="0.25">
      <c r="A402" s="24" t="s">
        <v>649</v>
      </c>
      <c r="B402" s="35" t="s">
        <v>650</v>
      </c>
      <c r="C402" s="24" t="s">
        <v>651</v>
      </c>
      <c r="D402" s="26">
        <v>1</v>
      </c>
      <c r="E402" s="27">
        <v>1</v>
      </c>
      <c r="F402" s="27">
        <v>11777.55</v>
      </c>
      <c r="G402" s="27">
        <v>11777.55</v>
      </c>
    </row>
    <row r="403" spans="1:7" x14ac:dyDescent="0.25">
      <c r="A403" s="24" t="s">
        <v>652</v>
      </c>
      <c r="B403" s="35" t="s">
        <v>653</v>
      </c>
      <c r="C403" s="24" t="s">
        <v>652</v>
      </c>
      <c r="D403" s="26">
        <v>1</v>
      </c>
      <c r="E403" s="27">
        <v>1</v>
      </c>
      <c r="F403" s="27">
        <v>36651.25</v>
      </c>
      <c r="G403" s="27">
        <v>36651.25</v>
      </c>
    </row>
    <row r="410" spans="1:7" x14ac:dyDescent="0.25">
      <c r="G410" s="4" t="s">
        <v>654</v>
      </c>
    </row>
  </sheetData>
  <autoFilter ref="A3:G403" xr:uid="{00000000-0001-0000-0000-000000000000}"/>
  <mergeCells count="1">
    <mergeCell ref="A2:C2"/>
  </mergeCells>
  <pageMargins left="0.25" right="0.25" top="0.75" bottom="0.75" header="0.3" footer="0.3"/>
  <pageSetup paperSize="9" scale="4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Eri_x00f5_eteenus xmlns="fba58e3c-88d7-47b5-83a3-f2277f39d6e1" xsi:nil="true"/>
    <_ip_UnifiedCompliancePolicyProperties xmlns="http://schemas.microsoft.com/sharepoint/v3" xsi:nil="true"/>
    <TaxCatchAll xmlns="d563ee63-fc49-4e0f-9474-773f50116adb" xsi:nil="true"/>
    <lcf76f155ced4ddcb4097134ff3c332f xmlns="fba58e3c-88d7-47b5-83a3-f2277f39d6e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915E40571AC0449EDF3E0FF4DB9D94" ma:contentTypeVersion="24" ma:contentTypeDescription="Create a new document." ma:contentTypeScope="" ma:versionID="d1a89a13e8c29a04f5b6845d1b1b7095">
  <xsd:schema xmlns:xsd="http://www.w3.org/2001/XMLSchema" xmlns:xs="http://www.w3.org/2001/XMLSchema" xmlns:p="http://schemas.microsoft.com/office/2006/metadata/properties" xmlns:ns1="http://schemas.microsoft.com/sharepoint/v3" xmlns:ns2="fba58e3c-88d7-47b5-83a3-f2277f39d6e1" xmlns:ns3="d563ee63-fc49-4e0f-9474-773f50116adb" targetNamespace="http://schemas.microsoft.com/office/2006/metadata/properties" ma:root="true" ma:fieldsID="7f0c9ab52f762d3851401e686ea93740" ns1:_="" ns2:_="" ns3:_="">
    <xsd:import namespace="http://schemas.microsoft.com/sharepoint/v3"/>
    <xsd:import namespace="fba58e3c-88d7-47b5-83a3-f2277f39d6e1"/>
    <xsd:import namespace="d563ee63-fc49-4e0f-9474-773f50116a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Eri_x00f5_eteenu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58e3c-88d7-47b5-83a3-f2277f39d6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0dfdd9a-08aa-49ba-8b8c-1f0b5c74ee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Eri_x00f5_eteenus" ma:index="25" nillable="true" ma:displayName="Eriõe teenus" ma:description="Siin tähtsamad eriõe teenuse ja katseprojektia seotud dokumendid" ma:format="Dropdown" ma:internalName="Eri_x00f5_eteenus">
      <xsd:simpleType>
        <xsd:restriction base="dms:Text">
          <xsd:maxLength value="255"/>
        </xsd:restriction>
      </xsd:simple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3ee63-fc49-4e0f-9474-773f50116ad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03e119c7-e299-4254-971c-a0fd98709c42}" ma:internalName="TaxCatchAll" ma:showField="CatchAllData" ma:web="d563ee63-fc49-4e0f-9474-773f50116a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6D0F5C-C679-48FF-BDDF-4EB22A677CA3}">
  <ds:schemaRefs>
    <ds:schemaRef ds:uri="http://purl.org/dc/elements/1.1/"/>
    <ds:schemaRef ds:uri="http://schemas.microsoft.com/sharepoint/v3"/>
    <ds:schemaRef ds:uri="http://purl.org/dc/dcmitype/"/>
    <ds:schemaRef ds:uri="fba58e3c-88d7-47b5-83a3-f2277f39d6e1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d563ee63-fc49-4e0f-9474-773f50116adb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1A3FDD4-94E0-4944-BE33-0489C7E7B9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ba58e3c-88d7-47b5-83a3-f2277f39d6e1"/>
    <ds:schemaRef ds:uri="d563ee63-fc49-4e0f-9474-773f50116a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DCE339-8513-4193-B131-5A458223D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3</vt:i4>
      </vt:variant>
    </vt:vector>
  </HeadingPairs>
  <TitlesOfParts>
    <vt:vector size="4" baseType="lpstr">
      <vt:lpstr>määruse_lisa</vt:lpstr>
      <vt:lpstr>määruse_lisa!_ftnref1</vt:lpstr>
      <vt:lpstr>määruse_lisa!_Hlk495503952</vt:lpstr>
      <vt:lpstr>määruse_lisa!_Hlk495503991</vt:lpstr>
    </vt:vector>
  </TitlesOfParts>
  <Manager/>
  <Company>EHK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khk_kaja.ladogina</dc:creator>
  <cp:keywords/>
  <dc:description/>
  <cp:lastModifiedBy>Pille Saar - SOM</cp:lastModifiedBy>
  <cp:revision/>
  <cp:lastPrinted>2025-02-19T07:43:40Z</cp:lastPrinted>
  <dcterms:created xsi:type="dcterms:W3CDTF">2006-10-19T08:11:52Z</dcterms:created>
  <dcterms:modified xsi:type="dcterms:W3CDTF">2025-03-11T13:56:34Z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0x0101005E915E40571AC0449EDF3E0FF4DB9D94</vt:lpwstr>
  </property>
  <property fmtid="{D5CDD505-2E9C-101B-9397-08002B2CF9AE}" pid="3" name="Order">
    <vt:r8>11188600</vt:r8>
  </property>
  <property fmtid="{D5CDD505-2E9C-101B-9397-08002B2CF9AE}" pid="4" name="MediaServiceImageTags">
    <vt:lpwstr/>
  </property>
  <property fmtid="{D5CDD505-2E9C-101B-9397-08002B2CF9AE}" pid="5" name="MSIP_Label_defa4170-0d19-0005-0004-bc88714345d2_Enabled">
    <vt:lpwstr>true</vt:lpwstr>
  </property>
  <property fmtid="{D5CDD505-2E9C-101B-9397-08002B2CF9AE}" pid="6" name="MSIP_Label_defa4170-0d19-0005-0004-bc88714345d2_SetDate">
    <vt:lpwstr>2025-02-20T08:01:06Z</vt:lpwstr>
  </property>
  <property fmtid="{D5CDD505-2E9C-101B-9397-08002B2CF9AE}" pid="7" name="MSIP_Label_defa4170-0d19-0005-0004-bc88714345d2_Method">
    <vt:lpwstr>Standard</vt:lpwstr>
  </property>
  <property fmtid="{D5CDD505-2E9C-101B-9397-08002B2CF9AE}" pid="8" name="MSIP_Label_defa4170-0d19-0005-0004-bc88714345d2_Name">
    <vt:lpwstr>defa4170-0d19-0005-0004-bc88714345d2</vt:lpwstr>
  </property>
  <property fmtid="{D5CDD505-2E9C-101B-9397-08002B2CF9AE}" pid="9" name="MSIP_Label_defa4170-0d19-0005-0004-bc88714345d2_SiteId">
    <vt:lpwstr>8fe098d2-428d-4bd4-9803-7195fe96f0e2</vt:lpwstr>
  </property>
  <property fmtid="{D5CDD505-2E9C-101B-9397-08002B2CF9AE}" pid="10" name="MSIP_Label_defa4170-0d19-0005-0004-bc88714345d2_ActionId">
    <vt:lpwstr>8971133c-a037-4ff6-8ade-fdd7685a12a3</vt:lpwstr>
  </property>
  <property fmtid="{D5CDD505-2E9C-101B-9397-08002B2CF9AE}" pid="11" name="MSIP_Label_defa4170-0d19-0005-0004-bc88714345d2_ContentBits">
    <vt:lpwstr>0</vt:lpwstr>
  </property>
</Properties>
</file>